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637" firstSheet="2" activeTab="2"/>
  </bookViews>
  <sheets>
    <sheet name="Другое оборуд. almacom " sheetId="9" state="hidden" r:id="rId1"/>
    <sheet name="Другое оборуд. almacom нов" sheetId="17" state="hidden" r:id="rId2"/>
    <sheet name="кондиц. и расх. мат-лы almacom" sheetId="5" r:id="rId3"/>
    <sheet name="Лист1" sheetId="10" state="hidden" r:id="rId4"/>
    <sheet name="промышленные" sheetId="16" state="hidden" r:id="rId5"/>
    <sheet name="Уценка" sheetId="25" state="hidden" r:id="rId6"/>
  </sheets>
  <definedNames>
    <definedName name="Print_Area" localSheetId="0">'Другое оборуд. almacom '!$A$1:$G$105</definedName>
    <definedName name="Print_Area" localSheetId="1">'Другое оборуд. almacom нов'!$A$1:$G$105</definedName>
    <definedName name="Print_Area" localSheetId="2">'кондиц. и расх. мат-лы almacom'!$A$1:$H$281</definedName>
    <definedName name="_xlnm.Print_Titles" localSheetId="2">'кондиц. и расх. мат-лы almacom'!$5:$5</definedName>
    <definedName name="_xlnm.Print_Area" localSheetId="2">'кондиц. и расх. мат-лы almacom'!$A$1:$H$281</definedName>
  </definedNames>
  <calcPr calcId="145621" fullCalcOnLoad="1" refMode="R1C1"/>
</workbook>
</file>

<file path=xl/calcChain.xml><?xml version="1.0" encoding="utf-8"?>
<calcChain xmlns="http://schemas.openxmlformats.org/spreadsheetml/2006/main">
  <c r="G158" i="5" l="1"/>
  <c r="F158" i="5"/>
  <c r="G157" i="5"/>
  <c r="F157" i="5"/>
  <c r="G156" i="5"/>
  <c r="F156" i="5"/>
  <c r="G155" i="5"/>
  <c r="F155" i="5" s="1"/>
  <c r="G144" i="5"/>
  <c r="F144" i="5"/>
  <c r="G143" i="5"/>
  <c r="F143" i="5"/>
  <c r="G142" i="5"/>
  <c r="F142" i="5"/>
  <c r="G141" i="5"/>
  <c r="F141" i="5" s="1"/>
  <c r="G140" i="5"/>
  <c r="F140" i="5" s="1"/>
  <c r="F62" i="17"/>
  <c r="E62" i="17"/>
  <c r="F61" i="17"/>
  <c r="F60" i="17"/>
  <c r="E60" i="17"/>
  <c r="F59" i="17"/>
  <c r="F58" i="17"/>
  <c r="F57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0" i="17"/>
  <c r="E90" i="17"/>
  <c r="F88" i="17"/>
  <c r="E88" i="17"/>
  <c r="F87" i="17"/>
  <c r="E87" i="17"/>
  <c r="F86" i="17"/>
  <c r="E86" i="17"/>
  <c r="F85" i="17"/>
  <c r="E85" i="17"/>
  <c r="F84" i="17"/>
  <c r="E84" i="17"/>
  <c r="F83" i="17"/>
  <c r="E83" i="17"/>
  <c r="F81" i="17"/>
  <c r="E81" i="17"/>
  <c r="F80" i="17"/>
  <c r="E80" i="17"/>
  <c r="F79" i="17"/>
  <c r="E79" i="17"/>
  <c r="F78" i="17"/>
  <c r="E78" i="17"/>
  <c r="F77" i="17"/>
  <c r="E77" i="17"/>
  <c r="F74" i="17"/>
  <c r="E74" i="17"/>
  <c r="F73" i="17"/>
  <c r="E73" i="17"/>
  <c r="F71" i="17"/>
  <c r="E71" i="17"/>
  <c r="F69" i="17"/>
  <c r="E69" i="17"/>
  <c r="F68" i="17"/>
  <c r="E68" i="17"/>
  <c r="F66" i="17"/>
  <c r="E66" i="17"/>
  <c r="F65" i="17"/>
  <c r="E6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1" i="17"/>
  <c r="E41" i="17"/>
  <c r="F38" i="17"/>
  <c r="E38" i="17"/>
  <c r="F37" i="17"/>
  <c r="E37" i="17"/>
  <c r="F36" i="17"/>
  <c r="E36" i="17"/>
  <c r="F20" i="17"/>
  <c r="E20" i="17"/>
  <c r="F19" i="17"/>
  <c r="E19" i="17"/>
  <c r="F18" i="17"/>
  <c r="E18" i="17"/>
  <c r="F17" i="17"/>
  <c r="E17" i="17"/>
  <c r="F39" i="17"/>
  <c r="E39" i="17"/>
  <c r="F21" i="17"/>
  <c r="E21" i="17"/>
  <c r="F22" i="17"/>
  <c r="E22" i="17"/>
  <c r="F27" i="17"/>
  <c r="E27" i="17"/>
  <c r="F26" i="17"/>
  <c r="E26" i="17"/>
  <c r="F25" i="17"/>
  <c r="E25" i="17"/>
  <c r="F24" i="17"/>
  <c r="E24" i="17"/>
  <c r="F23" i="17"/>
  <c r="E23" i="17"/>
  <c r="F35" i="17"/>
  <c r="E35" i="17"/>
  <c r="F34" i="17"/>
  <c r="E34" i="17"/>
  <c r="F31" i="17"/>
  <c r="E31" i="17"/>
  <c r="F30" i="17"/>
  <c r="E30" i="17"/>
  <c r="F29" i="17"/>
  <c r="E29" i="17"/>
  <c r="F33" i="17"/>
  <c r="E33" i="17"/>
  <c r="F32" i="17"/>
  <c r="E32" i="17"/>
  <c r="F28" i="17"/>
  <c r="E28" i="17"/>
  <c r="F15" i="17"/>
  <c r="E15" i="17"/>
  <c r="F14" i="17"/>
  <c r="E14" i="17"/>
  <c r="F13" i="17"/>
  <c r="E13" i="17"/>
  <c r="F12" i="17"/>
  <c r="E12" i="17"/>
  <c r="F10" i="17"/>
  <c r="E10" i="17"/>
  <c r="F8" i="17"/>
  <c r="E8" i="17"/>
  <c r="F7" i="17"/>
  <c r="E7" i="17"/>
  <c r="I101" i="17"/>
  <c r="J101" i="17"/>
  <c r="I99" i="17"/>
  <c r="J99" i="17"/>
  <c r="I98" i="17"/>
  <c r="J98" i="17"/>
  <c r="I97" i="17"/>
  <c r="J97" i="17"/>
  <c r="I96" i="17"/>
  <c r="J96" i="17"/>
  <c r="I95" i="17"/>
  <c r="J95" i="17"/>
  <c r="I94" i="17"/>
  <c r="J94" i="17"/>
  <c r="I93" i="17"/>
  <c r="J93" i="17"/>
  <c r="I92" i="17"/>
  <c r="J92" i="17"/>
  <c r="I91" i="17"/>
  <c r="J91" i="17"/>
  <c r="I90" i="17"/>
  <c r="J90" i="17"/>
  <c r="I89" i="17"/>
  <c r="J89" i="17"/>
  <c r="I88" i="17"/>
  <c r="J88" i="17"/>
  <c r="I87" i="17"/>
  <c r="J87" i="17"/>
  <c r="I86" i="17"/>
  <c r="J86" i="17"/>
  <c r="I85" i="17"/>
  <c r="J85" i="17"/>
  <c r="I84" i="17"/>
  <c r="J84" i="17"/>
  <c r="I82" i="17"/>
  <c r="J82" i="17"/>
  <c r="I81" i="17"/>
  <c r="J81" i="17"/>
  <c r="I76" i="17"/>
  <c r="J76" i="17"/>
  <c r="F76" i="17"/>
  <c r="E76" i="17"/>
  <c r="I75" i="17"/>
  <c r="J75" i="17"/>
  <c r="I71" i="17"/>
  <c r="J71" i="17"/>
  <c r="I70" i="17"/>
  <c r="J70" i="17"/>
  <c r="I66" i="17"/>
  <c r="J66" i="17"/>
  <c r="I65" i="17"/>
  <c r="J65" i="17"/>
  <c r="I64" i="17"/>
  <c r="J64" i="17"/>
  <c r="I63" i="17"/>
  <c r="J63" i="17"/>
  <c r="I62" i="17"/>
  <c r="J62" i="17"/>
  <c r="I61" i="17"/>
  <c r="J61" i="17"/>
  <c r="E61" i="17"/>
  <c r="I60" i="17"/>
  <c r="J60" i="17"/>
  <c r="I59" i="17"/>
  <c r="J59" i="17"/>
  <c r="E59" i="17"/>
  <c r="E58" i="17"/>
  <c r="I57" i="17"/>
  <c r="J57" i="17"/>
  <c r="E57" i="17"/>
  <c r="I56" i="17"/>
  <c r="J56" i="17"/>
  <c r="I55" i="17"/>
  <c r="J55" i="17"/>
  <c r="I54" i="17"/>
  <c r="J54" i="17"/>
  <c r="I53" i="17"/>
  <c r="J53" i="17"/>
  <c r="I52" i="17"/>
  <c r="J52" i="17"/>
  <c r="I51" i="17"/>
  <c r="J51" i="17"/>
  <c r="I50" i="17"/>
  <c r="J50" i="17"/>
  <c r="I47" i="17"/>
  <c r="J47" i="17"/>
  <c r="I46" i="17"/>
  <c r="J46" i="17"/>
  <c r="I44" i="17"/>
  <c r="J44" i="17"/>
  <c r="I43" i="17"/>
  <c r="J43" i="17"/>
  <c r="I42" i="17"/>
  <c r="J42" i="17"/>
  <c r="I41" i="17"/>
  <c r="J41" i="17"/>
  <c r="I40" i="17"/>
  <c r="J40" i="17"/>
  <c r="I39" i="17"/>
  <c r="J39" i="17"/>
  <c r="I38" i="17"/>
  <c r="J38" i="17"/>
  <c r="I36" i="17"/>
  <c r="J36" i="17"/>
  <c r="I29" i="17"/>
  <c r="J29" i="17"/>
  <c r="I23" i="17"/>
  <c r="J23" i="17"/>
  <c r="I20" i="17"/>
  <c r="J20" i="17"/>
  <c r="I19" i="17"/>
  <c r="J19" i="17"/>
  <c r="I17" i="17"/>
  <c r="J17" i="17"/>
  <c r="I16" i="17"/>
  <c r="J16" i="17"/>
  <c r="I15" i="17"/>
  <c r="J15" i="17"/>
  <c r="I14" i="17"/>
  <c r="J14" i="17"/>
  <c r="I13" i="17"/>
  <c r="J13" i="17"/>
  <c r="I12" i="17"/>
  <c r="J12" i="17"/>
  <c r="I11" i="17"/>
  <c r="J11" i="17"/>
  <c r="I10" i="17"/>
  <c r="J10" i="17"/>
  <c r="J9" i="17"/>
  <c r="I7" i="17"/>
  <c r="J7" i="17"/>
  <c r="F7" i="9"/>
  <c r="E7" i="9"/>
  <c r="F81" i="9"/>
  <c r="E81" i="9"/>
  <c r="F80" i="9"/>
  <c r="E80" i="9"/>
  <c r="F22" i="9"/>
  <c r="E22" i="9"/>
  <c r="F21" i="9"/>
  <c r="E21" i="9"/>
  <c r="F27" i="9"/>
  <c r="E27" i="9"/>
  <c r="F26" i="9"/>
  <c r="E26" i="9"/>
  <c r="F25" i="9"/>
  <c r="E25" i="9"/>
  <c r="F24" i="9"/>
  <c r="E24" i="9"/>
  <c r="F69" i="9"/>
  <c r="E69" i="9"/>
  <c r="F68" i="9"/>
  <c r="E68" i="9"/>
  <c r="F8" i="9"/>
  <c r="E8" i="9"/>
  <c r="F58" i="9"/>
  <c r="E58" i="9"/>
  <c r="F50" i="9"/>
  <c r="E50" i="9"/>
  <c r="F28" i="9"/>
  <c r="E28" i="9"/>
  <c r="F37" i="9"/>
  <c r="E37" i="9"/>
  <c r="I7" i="9"/>
  <c r="J7" i="9"/>
  <c r="F95" i="9"/>
  <c r="F94" i="9"/>
  <c r="E94" i="9"/>
  <c r="F35" i="9"/>
  <c r="F34" i="9"/>
  <c r="E34" i="9"/>
  <c r="F73" i="9"/>
  <c r="E73" i="9"/>
  <c r="F79" i="9"/>
  <c r="E79" i="9"/>
  <c r="F78" i="9"/>
  <c r="E78" i="9"/>
  <c r="F77" i="9"/>
  <c r="E77" i="9"/>
  <c r="F90" i="9"/>
  <c r="E90" i="9"/>
  <c r="F83" i="9"/>
  <c r="E83" i="9"/>
  <c r="F74" i="9"/>
  <c r="E74" i="9"/>
  <c r="E105" i="9"/>
  <c r="E102" i="9"/>
  <c r="E100" i="9"/>
  <c r="E103" i="9"/>
  <c r="E104" i="9"/>
  <c r="H11" i="16"/>
  <c r="G11" i="16"/>
  <c r="E35" i="9"/>
  <c r="F29" i="9"/>
  <c r="E29" i="9"/>
  <c r="H26" i="16"/>
  <c r="I26" i="16"/>
  <c r="H25" i="16"/>
  <c r="I25" i="16"/>
  <c r="H24" i="16"/>
  <c r="G24" i="16"/>
  <c r="H22" i="16"/>
  <c r="G22" i="16"/>
  <c r="H21" i="16"/>
  <c r="G21" i="16"/>
  <c r="H19" i="16"/>
  <c r="G19" i="16"/>
  <c r="H18" i="16"/>
  <c r="I18" i="16"/>
  <c r="H17" i="16"/>
  <c r="I17" i="16"/>
  <c r="H15" i="16"/>
  <c r="I15" i="16"/>
  <c r="H14" i="16"/>
  <c r="G14" i="16"/>
  <c r="H13" i="16"/>
  <c r="I13" i="16"/>
  <c r="I12" i="16"/>
  <c r="I16" i="16"/>
  <c r="I20" i="16"/>
  <c r="I23" i="16"/>
  <c r="F33" i="9"/>
  <c r="E33" i="9"/>
  <c r="F32" i="9"/>
  <c r="E32" i="9"/>
  <c r="F31" i="9"/>
  <c r="E31" i="9"/>
  <c r="F30" i="9"/>
  <c r="E30" i="9"/>
  <c r="F18" i="9"/>
  <c r="E18" i="9"/>
  <c r="I24" i="16"/>
  <c r="I21" i="16"/>
  <c r="G15" i="16"/>
  <c r="G26" i="16"/>
  <c r="F49" i="9"/>
  <c r="E49" i="9"/>
  <c r="F48" i="9"/>
  <c r="E48" i="9"/>
  <c r="F47" i="9"/>
  <c r="E47" i="9"/>
  <c r="F45" i="9"/>
  <c r="E45" i="9"/>
  <c r="F44" i="9"/>
  <c r="F46" i="9"/>
  <c r="E46" i="9"/>
  <c r="F71" i="9"/>
  <c r="E71" i="9"/>
  <c r="F88" i="9"/>
  <c r="E88" i="9"/>
  <c r="F87" i="9"/>
  <c r="E87" i="9"/>
  <c r="F86" i="9"/>
  <c r="E86" i="9"/>
  <c r="F85" i="9"/>
  <c r="E85" i="9"/>
  <c r="F84" i="9"/>
  <c r="F98" i="9"/>
  <c r="E98" i="9"/>
  <c r="F97" i="9"/>
  <c r="F96" i="9"/>
  <c r="E96" i="9"/>
  <c r="F93" i="9"/>
  <c r="E93" i="9"/>
  <c r="F92" i="9"/>
  <c r="E92" i="9"/>
  <c r="F76" i="9"/>
  <c r="F62" i="9"/>
  <c r="E62" i="9"/>
  <c r="F61" i="9"/>
  <c r="E61" i="9"/>
  <c r="F60" i="9"/>
  <c r="E60" i="9"/>
  <c r="F59" i="9"/>
  <c r="E59" i="9"/>
  <c r="F57" i="9"/>
  <c r="F54" i="9"/>
  <c r="E54" i="9"/>
  <c r="F53" i="9"/>
  <c r="E53" i="9"/>
  <c r="F52" i="9"/>
  <c r="E52" i="9"/>
  <c r="F51" i="9"/>
  <c r="E51" i="9"/>
  <c r="F43" i="9"/>
  <c r="E43" i="9"/>
  <c r="F41" i="9"/>
  <c r="E41" i="9"/>
  <c r="F39" i="9"/>
  <c r="E39" i="9"/>
  <c r="F38" i="9"/>
  <c r="E38" i="9"/>
  <c r="F36" i="9"/>
  <c r="E36" i="9"/>
  <c r="F23" i="9"/>
  <c r="E23" i="9"/>
  <c r="F20" i="9"/>
  <c r="F19" i="9"/>
  <c r="E19" i="9"/>
  <c r="F17" i="9"/>
  <c r="E17" i="9"/>
  <c r="F15" i="9"/>
  <c r="E15" i="9"/>
  <c r="F14" i="9"/>
  <c r="E14" i="9"/>
  <c r="F13" i="9"/>
  <c r="E13" i="9"/>
  <c r="F12" i="9"/>
  <c r="E12" i="9"/>
  <c r="F10" i="9"/>
  <c r="E10" i="9"/>
  <c r="E101" i="9"/>
  <c r="E95" i="9"/>
  <c r="E97" i="9"/>
  <c r="E84" i="9"/>
  <c r="E76" i="9"/>
  <c r="E66" i="9"/>
  <c r="E65" i="9"/>
  <c r="E57" i="9"/>
  <c r="E44" i="9"/>
  <c r="E20" i="9"/>
  <c r="J9" i="9"/>
  <c r="I14" i="9"/>
  <c r="J14" i="9"/>
  <c r="I13" i="9"/>
  <c r="J13" i="9"/>
  <c r="I12" i="9"/>
  <c r="J12" i="9"/>
  <c r="I10" i="9"/>
  <c r="J10" i="9"/>
  <c r="I15" i="9"/>
  <c r="J15" i="9"/>
  <c r="I16" i="9"/>
  <c r="J16" i="9"/>
  <c r="I17" i="9"/>
  <c r="J17" i="9"/>
  <c r="I19" i="9"/>
  <c r="J19" i="9"/>
  <c r="I20" i="9"/>
  <c r="J20" i="9"/>
  <c r="I23" i="9"/>
  <c r="J23" i="9"/>
  <c r="I29" i="9"/>
  <c r="J29" i="9"/>
  <c r="I36" i="9"/>
  <c r="J36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6" i="9"/>
  <c r="J46" i="9"/>
  <c r="I47" i="9"/>
  <c r="J47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9" i="9"/>
  <c r="J59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70" i="9"/>
  <c r="J70" i="9"/>
  <c r="I71" i="9"/>
  <c r="J71" i="9"/>
  <c r="I75" i="9"/>
  <c r="J75" i="9"/>
  <c r="I76" i="9"/>
  <c r="J76" i="9"/>
  <c r="I81" i="9"/>
  <c r="J81" i="9"/>
  <c r="I82" i="9"/>
  <c r="J82" i="9"/>
  <c r="I84" i="9"/>
  <c r="J84" i="9"/>
  <c r="I85" i="9"/>
  <c r="J85" i="9"/>
  <c r="I86" i="9"/>
  <c r="J86" i="9"/>
  <c r="I87" i="9"/>
  <c r="J87" i="9"/>
  <c r="I88" i="9"/>
  <c r="J88" i="9"/>
  <c r="I89" i="9"/>
  <c r="J89" i="9"/>
  <c r="I90" i="9"/>
  <c r="J90" i="9"/>
  <c r="I91" i="9"/>
  <c r="J91" i="9"/>
  <c r="I92" i="9"/>
  <c r="J92" i="9"/>
  <c r="I93" i="9"/>
  <c r="J93" i="9"/>
  <c r="I94" i="9"/>
  <c r="J94" i="9"/>
  <c r="I95" i="9"/>
  <c r="J95" i="9"/>
  <c r="I96" i="9"/>
  <c r="J96" i="9"/>
  <c r="I97" i="9"/>
  <c r="J97" i="9"/>
  <c r="I98" i="9"/>
  <c r="J98" i="9"/>
  <c r="I99" i="9"/>
  <c r="J99" i="9"/>
  <c r="I101" i="9"/>
  <c r="J101" i="9"/>
  <c r="I11" i="9"/>
  <c r="J11" i="9"/>
  <c r="G13" i="16"/>
  <c r="I11" i="16"/>
  <c r="I22" i="16"/>
  <c r="G17" i="16"/>
  <c r="G25" i="16"/>
  <c r="G18" i="16"/>
  <c r="I14" i="16"/>
  <c r="I19" i="16"/>
</calcChain>
</file>

<file path=xl/sharedStrings.xml><?xml version="1.0" encoding="utf-8"?>
<sst xmlns="http://schemas.openxmlformats.org/spreadsheetml/2006/main" count="1705" uniqueCount="750">
  <si>
    <t>Краткое описание</t>
  </si>
  <si>
    <t>шт.</t>
  </si>
  <si>
    <t xml:space="preserve">Наименование товара </t>
  </si>
  <si>
    <t>ОБОГРЕВАТЕЛИ</t>
  </si>
  <si>
    <t>ВОДОНАГРЕВАТЕЛИ</t>
  </si>
  <si>
    <t>Ед. изм.</t>
  </si>
  <si>
    <t xml:space="preserve">        ПРАЙС-ЛИСТ</t>
  </si>
  <si>
    <t>ВН-20-(Н)</t>
  </si>
  <si>
    <t xml:space="preserve">FP-18A-(H) </t>
  </si>
  <si>
    <t>AC-09J</t>
  </si>
  <si>
    <t>WD-SСО-1</t>
  </si>
  <si>
    <t xml:space="preserve">        Республика Казахстан, г. Алматы пр. Райымбека 221 Г, 1 этаж</t>
  </si>
  <si>
    <t>Водонагреватели аlmacom, ariston</t>
  </si>
  <si>
    <t>Ariston PRO R 100 V</t>
  </si>
  <si>
    <t xml:space="preserve">Almacom WH-100Y6C </t>
  </si>
  <si>
    <t xml:space="preserve">Almacom WH-50Y6C </t>
  </si>
  <si>
    <t xml:space="preserve">Almacom WH-25CB </t>
  </si>
  <si>
    <t xml:space="preserve">Almacom WH-10CC </t>
  </si>
  <si>
    <t>Розничная цена, тенге.</t>
  </si>
  <si>
    <t>Дилерская цена, тенге.</t>
  </si>
  <si>
    <t>ACF-24HM</t>
  </si>
  <si>
    <t>ACF-36HM</t>
  </si>
  <si>
    <t>комплект</t>
  </si>
  <si>
    <t xml:space="preserve">http: www.almacom.kz </t>
  </si>
  <si>
    <t xml:space="preserve">  e-mail:  info@almacom.kz</t>
  </si>
  <si>
    <t>IH-5000-(H)</t>
  </si>
  <si>
    <t>IH-9000-(H)</t>
  </si>
  <si>
    <t>AC-18J</t>
  </si>
  <si>
    <t>AC-20J</t>
  </si>
  <si>
    <t>ЭЛЕКТРОКОНВЕКТОРЫ  аlmacom</t>
  </si>
  <si>
    <t>ВОЗДУШНЫЕ ЗАВЕСЫ almacom</t>
  </si>
  <si>
    <t>ТЕПЛОВЕНТИЛЯТОРЫ almacom</t>
  </si>
  <si>
    <t xml:space="preserve">  e-mail: info@almacom.kz</t>
  </si>
  <si>
    <t xml:space="preserve">ТЕПЛОВЫЕ ПУШКИ almacom АКЦИЯ: 5+1     </t>
  </si>
  <si>
    <t>УЛЬТРАЗВУКОВОЙ   УВЛАЖНИТЕЛЬ ВОЗДУХА  almacom</t>
  </si>
  <si>
    <t>СУШИЛКИ ДЛЯ РУК  almacom</t>
  </si>
  <si>
    <t>ДИСПЕНСЕРЫ  ДЛЯ ВОДЫ almacom</t>
  </si>
  <si>
    <t>ДОЗАТОР ДЛЯ ЖИДКОГО  МЫЛА  almacom</t>
  </si>
  <si>
    <t xml:space="preserve">        SD-1-800ML                                          </t>
  </si>
  <si>
    <t>Тип: Настенный, Напольный. Мощность: 2 кВт
Белый, керамический тэн</t>
  </si>
  <si>
    <t>Тип: Настенный, Напольный. Мощность: 1,5 кВт
Белый, керамический тэн</t>
  </si>
  <si>
    <t>КАМИН аlmacom</t>
  </si>
  <si>
    <r>
      <t xml:space="preserve">Тип: </t>
    </r>
    <r>
      <rPr>
        <b/>
        <sz val="9"/>
        <rFont val="Arial"/>
        <family val="2"/>
        <charset val="204"/>
      </rPr>
      <t>НАСТОЛЬНЫЙ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</si>
  <si>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НАСТОЛЬНЫЙ</t>
    </r>
    <r>
      <rPr>
        <sz val="9"/>
        <rFont val="Arial"/>
        <family val="2"/>
        <charset val="1"/>
      </rPr>
      <t xml:space="preserve">
без охлаждения, только нагрев                                                                                                 </t>
    </r>
  </si>
  <si>
    <t>AC-06J</t>
  </si>
  <si>
    <t>AC-08J</t>
  </si>
  <si>
    <t>AC-15J</t>
  </si>
  <si>
    <t>AC-12J</t>
  </si>
  <si>
    <t>МАСЛЯНЫЕ РАДИАТОРЫ аlmacom</t>
  </si>
  <si>
    <t xml:space="preserve">              ПРАЙС-ЛИСТ</t>
  </si>
  <si>
    <t>Канальные кондиционеры  almacom (Гарантия: 36 месяцев)</t>
  </si>
  <si>
    <t>Кассетные кондиционеры almacom (Гарантия: 36  месяцев)</t>
  </si>
  <si>
    <t xml:space="preserve">Напольно-подпотолочные кондиционеры almacom (Гарантия: 36  месяцев) </t>
  </si>
  <si>
    <t>WD-SHE-3AF</t>
  </si>
  <si>
    <t>WD-SHE-2AF</t>
  </si>
  <si>
    <r>
      <t xml:space="preserve">Тип: </t>
    </r>
    <r>
      <rPr>
        <b/>
        <sz val="9"/>
        <rFont val="Arial"/>
        <family val="2"/>
        <charset val="204"/>
      </rPr>
      <t>НАПОЛЬНЫЙ, со шкафчиком</t>
    </r>
    <r>
      <rPr>
        <sz val="9"/>
        <rFont val="Arial"/>
        <family val="2"/>
        <charset val="1"/>
      </rPr>
      <t xml:space="preserve">
Компрессорное охлаждение и нагрев
Хладагент R134а                                     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</si>
  <si>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</si>
  <si>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Держатель  стакана д/дисп CD-1</t>
  </si>
  <si>
    <t>Белый, прозрачная колба.</t>
  </si>
  <si>
    <t>Республика Казахстан, г. Алматы пр. Райымбека 221 Г, 1 этаж</t>
  </si>
  <si>
    <t xml:space="preserve">http: www.almacom.kz    </t>
  </si>
  <si>
    <t>ПРАЙС-ЛИСТ</t>
  </si>
  <si>
    <t>мощн. Охл., кВт</t>
  </si>
  <si>
    <t>Прецизионные кондиционеры</t>
  </si>
  <si>
    <t>Шкафные c забором воздуха спереди и подачей вперед.</t>
  </si>
  <si>
    <t>температура+влажность</t>
  </si>
  <si>
    <t>комп.</t>
  </si>
  <si>
    <t>Шкафные  c верхним забором и нижней подачей воздуха.</t>
  </si>
  <si>
    <t>Руфтопы</t>
  </si>
  <si>
    <t>AR-10T1</t>
  </si>
  <si>
    <t xml:space="preserve">охлаждение+обогрев (до-21С) </t>
  </si>
  <si>
    <t>AR-15T1</t>
  </si>
  <si>
    <t>AR-20T1</t>
  </si>
  <si>
    <t>Напольные</t>
  </si>
  <si>
    <t>ACP-80N</t>
  </si>
  <si>
    <t>Сплит-система, без инсталяции</t>
  </si>
  <si>
    <t>ACP-100N</t>
  </si>
  <si>
    <t>Канальные</t>
  </si>
  <si>
    <t>ACD-80HMh</t>
  </si>
  <si>
    <t>Сплит-система; без инсталляции; R410А; ПДУ; выс. давления;</t>
  </si>
  <si>
    <t>ACD-100HMh</t>
  </si>
  <si>
    <t>ACD-120HM</t>
  </si>
  <si>
    <t>Сплит-система; без инсталляции; R410А; ПДУ; 150 Pa.</t>
  </si>
  <si>
    <t xml:space="preserve">тел/факс;297-41-85, 297-42-94, 297-42-93 тел. </t>
  </si>
  <si>
    <t xml:space="preserve">                                           тел/факс; 297-41-85, 297-42-94, 297-42-93</t>
  </si>
  <si>
    <t>WD-DНО-1JI</t>
  </si>
  <si>
    <t>WD-SHE-5JI</t>
  </si>
  <si>
    <t>WD-CFO-3JI</t>
  </si>
  <si>
    <t>WD-CFO-4JI</t>
  </si>
  <si>
    <t>API-13FB + APO-13</t>
  </si>
  <si>
    <t>API-20TU + APO-30</t>
  </si>
  <si>
    <t>API-25TU + APO-40</t>
  </si>
  <si>
    <t>API-30TU + APO-50</t>
  </si>
  <si>
    <r>
      <t xml:space="preserve">Тип: </t>
    </r>
    <r>
      <rPr>
        <b/>
        <sz val="9"/>
        <rFont val="Arial"/>
        <family val="2"/>
        <charset val="204"/>
      </rPr>
      <t xml:space="preserve">НАПОЛЬНЫЙ. Цвет: светло-коричневый.  Стекл.  панель.  Кнопка  блокировки  горячей  воды  </t>
    </r>
    <r>
      <rPr>
        <sz val="9"/>
        <rFont val="Arial"/>
        <family val="2"/>
        <charset val="1"/>
      </rPr>
      <t xml:space="preserve">                                                                                        Компрессорное охлаждение и нагрев
Хладагент R134a
Холодильная камера 0,16 м3                           </t>
    </r>
  </si>
  <si>
    <t>ХОЛОДИЛЬНИК almacom</t>
  </si>
  <si>
    <t>МОРОЗИЛЬНИКИ almacom</t>
  </si>
  <si>
    <t>AR-92</t>
  </si>
  <si>
    <t>AF1D-150</t>
  </si>
  <si>
    <t>AF1D-200</t>
  </si>
  <si>
    <t>AF2D-218</t>
  </si>
  <si>
    <t>AF2D-238</t>
  </si>
  <si>
    <t xml:space="preserve">• Класс энергопотребления А
• Низкотемпературное отделение
• Объем : 92 л
• Мощность лампы: 10 Вт
• Вес: 19  кг
• Потребляемая мощность: 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</si>
  <si>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150 л
• Мощность лампы: 10 Вт
• Вес: 34  кг
• Потребляемая мощность: 130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</si>
  <si>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200 л
• Мощность лампы: 10 Вт
• Вес: 38  кг
• Потребляемая мощность: 160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</si>
  <si>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218 л
• Мощность лампы: 10 Вт
• Вес: 38  кг
• Потребляемая мощность: 120 Вт                                          
• Питание: 220Вт~50 Гц                                                                                  </t>
  </si>
  <si>
    <t xml:space="preserve">• Предназначен для хранения замороженных пищевых продуктов
• Озонобезопасный хладагент
• Объем : 238 л
• Мощность лампы: 10 Вт
• Вес: 43  кг
• Потребляемая мощность: 150 Вт                                          
• Питание: 220Вт~50 Гц                                                                                  </t>
  </si>
  <si>
    <t>Примечание</t>
  </si>
  <si>
    <r>
      <t xml:space="preserve">Тип: </t>
    </r>
    <r>
      <rPr>
        <b/>
        <sz val="11"/>
        <color indexed="8"/>
        <rFont val="Calibri"/>
        <family val="2"/>
        <charset val="204"/>
      </rPr>
      <t>НАПОЛЬНЫЙ. Цвет: серый. Стекл.  панель.</t>
    </r>
    <r>
      <rPr>
        <sz val="11"/>
        <color indexed="8"/>
        <rFont val="Calibri"/>
        <family val="2"/>
        <charset val="204"/>
      </rPr>
      <t xml:space="preserve">
Кнопка  блокировки  горячей  воды
Компрессорное охлаждение и нагрев
Хладагент R134a
Холодильная камера 0,16 м4</t>
    </r>
  </si>
  <si>
    <t>• Емкость: 800 мл
• Материал: Нержавеющая сталь 
• Закрывается на ключ</t>
  </si>
  <si>
    <r>
      <t xml:space="preserve">Тип: </t>
    </r>
    <r>
      <rPr>
        <b/>
        <sz val="9"/>
        <rFont val="Arial"/>
        <family val="2"/>
        <charset val="204"/>
      </rPr>
      <t>НАПОЛЬНЫЙ, со шкафчиком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</si>
  <si>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WD-DME-1AF</t>
  </si>
  <si>
    <t>PC-18N</t>
  </si>
  <si>
    <t>PC-22N</t>
  </si>
  <si>
    <t>PC-27N</t>
  </si>
  <si>
    <t>Тип: Настенный, Напольный. Мощность: 2,5 кВт
Белый, керамический тэн</t>
  </si>
  <si>
    <t>КВАРЦЕВЫЙ  ОБОГРЕВАТЕЛЬ  almacom</t>
  </si>
  <si>
    <t>QH-22-5C</t>
  </si>
  <si>
    <t xml:space="preserve">Тип: напольный; Мощность 2,2 кВт </t>
  </si>
  <si>
    <t>PC-22</t>
  </si>
  <si>
    <r>
      <rPr>
        <sz val="8"/>
        <rFont val="Arial"/>
        <family val="2"/>
        <charset val="204"/>
      </rPr>
      <t>• Мощность: 1200W                                                                                                        • Мощность  двигателя: 250W
• Скорость вращения двиг.: 24 000 об / мин                                              
• Скорость воздушного потока: &gt; 50м/с                                                                                                                    • SENSOR   
• Дистанция: до 150 мм 
• Температура воздуха: 65+15°C</t>
    </r>
    <r>
      <rPr>
        <sz val="8"/>
        <color indexed="8"/>
        <rFont val="Arial"/>
        <family val="2"/>
        <charset val="204"/>
      </rPr>
      <t xml:space="preserve">
• Размеры: 250ммx238ммx230мм                                           
• Материал: Пластик</t>
    </r>
  </si>
  <si>
    <t>• Мощность: 2300W,                                                                                                         • Мощность  двигателя: 250W 
• Скорость вращения двиг.: 25 000 об / мин
• Скорость воздушного потока: &gt;23 м/с,
 • SENSOR 
• Дистанция: 50--200 мм, 
• Температура воздуха: 65+15°C
• Размеры: 245мм*280мм*215мм
• Материал: Пластик</t>
  </si>
  <si>
    <t>WD-CFO-1JI</t>
  </si>
  <si>
    <r>
      <t xml:space="preserve">Тип: </t>
    </r>
    <r>
      <rPr>
        <b/>
        <sz val="9"/>
        <rFont val="Arial"/>
        <family val="2"/>
        <charset val="204"/>
      </rPr>
      <t>НАПОЛЬНЫЙ.  Цвет: красный.  Стеклянная  панель.
Кнопка  блокировки   горячей  воды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м3</t>
    </r>
  </si>
  <si>
    <t>• Мощность: 1800W                                                                                                                  • Мощность  двигателя: 60W 
• Скорость вращения двиг.: 2800 об / мин 
• Скорость воздушного потока: &gt; 11 м/с
• SENSOR
• Дистанция: 50--200мм 
• Температура воздуха: 65+15°C
• Размеры: 250мм*238мм*230мм
• Материал: Пластик</t>
  </si>
  <si>
    <t>• Мощность: 1200W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&gt;12 м/с
• SENSOR
• Дистанция: 50--200мм
• Температура воздуха: 65+15°C
• Размеры: 267мм*182мм*120мм
• Материал: Пластик</t>
  </si>
  <si>
    <t>WD-CFO-2JI</t>
  </si>
  <si>
    <t>WD-SHE-1JI</t>
  </si>
  <si>
    <t>WD-SHE-2JI</t>
  </si>
  <si>
    <t>WD-SHE-3JI</t>
  </si>
  <si>
    <t>WD-SHE-4JI</t>
  </si>
  <si>
    <t>WD-DME-2JI</t>
  </si>
  <si>
    <t>WD-SHE-6JI</t>
  </si>
  <si>
    <r>
      <t xml:space="preserve">Тип: </t>
    </r>
    <r>
      <rPr>
        <b/>
        <sz val="9"/>
        <rFont val="Arial"/>
        <family val="2"/>
        <charset val="204"/>
      </rPr>
      <t>НАПОЛЬНЫЙ.  Цвет: синий.  Стеклянная  панель.
Кнопка  блокировки   горячей  воды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м4</t>
    </r>
    <r>
      <rPr>
        <sz val="11"/>
        <color indexed="8"/>
        <rFont val="Calibri"/>
        <family val="2"/>
        <charset val="204"/>
      </rPr>
      <t/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</si>
  <si>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шкафчиком. Цвет: синий.  Стеклянная  панель.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</si>
  <si>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 xml:space="preserve">НАПОЛЬНЫЙ, со  шкафчиком.  Цвет: красный.  Стеклянная  панель. 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</si>
  <si>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со  шкафчиком. Цвет: светло-коричневый.  Стекл.  панель. 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</si>
  <si>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r>
      <t xml:space="preserve">Тип: </t>
    </r>
    <r>
      <rPr>
        <b/>
        <sz val="9"/>
        <rFont val="Arial"/>
        <family val="2"/>
        <charset val="204"/>
      </rPr>
      <t>НАПОЛЬНЫЙ,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со  шкафчиком Цвет: серый. Стекл.  панель.</t>
    </r>
    <r>
      <rPr>
        <sz val="9"/>
        <rFont val="Arial"/>
        <family val="2"/>
        <charset val="1"/>
      </rPr>
      <t xml:space="preserve">
Вентиляционное охлаждение и нагрев              </t>
    </r>
  </si>
  <si>
    <t>GH-20-(H)</t>
  </si>
  <si>
    <t xml:space="preserve">Тип: НАСТЕННЫЙ; Мощность: 2 кВт
Керамический нагревательный элемент, влагоустойчивый
</t>
  </si>
  <si>
    <t>Тип: НАСТЕННЫЙ; Мощность: 2 кВт
Керамический нагревательный элемент, ПДУ</t>
  </si>
  <si>
    <t>Тип: напольный промышленный; Мощность: 5 кВт</t>
  </si>
  <si>
    <t>Тип: напольный промышленный; Мощность: 9 кВт</t>
  </si>
  <si>
    <t>Мощность: 2 кВт; Объем: 100 литров</t>
  </si>
  <si>
    <t>Мощность: 1,5 кВт; Объем:50 литров</t>
  </si>
  <si>
    <t>Мощность: 1,5 кВт; Объем: 25 литров</t>
  </si>
  <si>
    <t>Мощность: 1,5 кВт; Объем: 10 литров</t>
  </si>
  <si>
    <t>Тип: НАПОЛЬНЫЙ; Эффект реального пламени
Напряжение: 220V; Потр. мощность: 1.8 кВт</t>
  </si>
  <si>
    <t>Мощность: 3 кВт (220); ПДУ; Длина: 60 см</t>
  </si>
  <si>
    <t>Мощность: 4 кВт (220); ПДУ; Длина: 80 см</t>
  </si>
  <si>
    <t>Мощность: 7,5 кВт (220/380); ПДУ; Длина: 90 см</t>
  </si>
  <si>
    <t>Мощность: 9,3 кВт (220/380); ПДУ; Длина: 120 см</t>
  </si>
  <si>
    <t>Мощность: 11,8кВт (220/380); ПДУ; Длина: 150 см</t>
  </si>
  <si>
    <t>Мощность: 14,8кВт (220/380); ПДУ; Длина: 180 см</t>
  </si>
  <si>
    <t>Мощность: 16,4кВт (220/380); ПДУ; Длина: 200 см</t>
  </si>
  <si>
    <t>Мощность: 2,0 кВт;9 секций;  БЕЗ  ВЕНТИЛЯТОРА;</t>
  </si>
  <si>
    <t>РС-18</t>
  </si>
  <si>
    <t xml:space="preserve">Тип: Настенный, Напольный; Мощность 2 кВт;                                                      Черная декорированная стеклянная  панель: </t>
  </si>
  <si>
    <t>Тип: НАПОЛЬНЫЙ; Мощность: 2 кВт
Керамический нагревательный элемент, ПДУ</t>
  </si>
  <si>
    <t xml:space="preserve"> FH-20AH</t>
  </si>
  <si>
    <t xml:space="preserve"> FH-20BH</t>
  </si>
  <si>
    <t>ГАЛОГЕННЫЙ  ОБОГРЕВАТЕЛЬ  almacom</t>
  </si>
  <si>
    <t>HH-12-1H</t>
  </si>
  <si>
    <t xml:space="preserve">Тип: напольный; Мощность 1,2 кВт </t>
  </si>
  <si>
    <t>• Мощность: 2300W                                                                                                                   • Мощность  двигателя: 250W                                                                                                                     
• Скорость вращения двиг.: 25 000 об / мин                                                                                                          • Скорость воздушного потока: &gt;23 м/с                                                                                                                                                                
• SENSOR                                                          
• Дистанция: 50--200 мм 
• Температура воздуха: 65+15°C                                                                                            • Размеры: 245мм*280мм*215мм                                         
• Материал: Нержавеющая  сталь</t>
  </si>
  <si>
    <t>• Мощность: 1800W                                                                                                      • • Мощность  двигателя: 60W
• Скорость вращения двиг.: 2800 об / мин                                              
• Скорость воздушного потока: &gt; 18м/с                                                                                                                    • SENSOR   
• Дистанция: до 150 мм 
• Температура воздуха: 65+15°C
• Размеры: 250ммx238ммx230мм                                           
• Материал: Нержавеющая  сталь</t>
  </si>
  <si>
    <t>• Мощность: 1500W,                                                                                                                       • Мощность  двигателя: 60W 
• Скорость вращения двиг.: 2800 об / мин
• Скорость воздушного потока: &gt;11 м/с
• SENSOR
• Дистанция: 50--200 мм, 
• Температура воздуха: 65+15°C
• Размеры: 240мм*240мм*230мм
• Материал: Цинковый сплав</t>
  </si>
  <si>
    <t>• Мощность: 1500W                                                                                                      • • Мощность  двигателя: 60W 
• Скорость вращения двиг.: 2 400 об / мин  
• Скорость воздушного потока: &gt;11 м/с
• SENSOR
• Дистанция: 50--200 мм
• Температура воздуха: 65+15°C
• Размеры: 265мм*200мм*155мм
• Материал: Пластик</t>
  </si>
  <si>
    <r>
      <t xml:space="preserve">Мощность: 1,8 кВт; </t>
    </r>
    <r>
      <rPr>
        <sz val="10"/>
        <rFont val="Arial"/>
        <family val="2"/>
        <charset val="1"/>
      </rPr>
      <t>Объем: 100 литров</t>
    </r>
  </si>
  <si>
    <t>• Мощность: 1200W,                                                                                                       • Мощность  двигателя: 550W
• Скорость вращения двиг.: 25 000 об / мин
• Скорость воздушного потока: &gt;30 м/с
• SENSOR 
• Дистанция: 50--200 мм, 
• Температура воздуха: 30-50°C
• Материал: Нержавеющая  сталь</t>
  </si>
  <si>
    <r>
      <rPr>
        <b/>
        <sz val="14"/>
        <rFont val="Arial"/>
        <family val="2"/>
        <charset val="204"/>
      </rPr>
      <t xml:space="preserve">PTC-WM-20C-(H) </t>
    </r>
    <r>
      <rPr>
        <sz val="14"/>
        <rFont val="Arial"/>
        <family val="2"/>
        <charset val="204"/>
      </rPr>
      <t xml:space="preserve">                                </t>
    </r>
    <r>
      <rPr>
        <sz val="10"/>
        <rFont val="Arial"/>
        <family val="2"/>
        <charset val="204"/>
      </rPr>
      <t>(в упаковке 4шт)</t>
    </r>
  </si>
  <si>
    <r>
      <rPr>
        <b/>
        <sz val="14"/>
        <rFont val="Arial"/>
        <family val="2"/>
        <charset val="204"/>
      </rPr>
      <t xml:space="preserve">PTC-WM-20D-(H) </t>
    </r>
    <r>
      <rPr>
        <sz val="14"/>
        <rFont val="Arial"/>
        <family val="2"/>
        <charset val="204"/>
      </rPr>
      <t xml:space="preserve">                                </t>
    </r>
    <r>
      <rPr>
        <sz val="10"/>
        <rFont val="Arial"/>
        <family val="2"/>
        <charset val="204"/>
      </rPr>
      <t>(в упаковке 4шт)</t>
    </r>
  </si>
  <si>
    <r>
      <rPr>
        <b/>
        <sz val="14"/>
        <rFont val="Arial"/>
        <family val="2"/>
        <charset val="204"/>
      </rPr>
      <t xml:space="preserve">PTC-20RH </t>
    </r>
    <r>
      <rPr>
        <sz val="14"/>
        <rFont val="Arial"/>
        <family val="2"/>
        <charset val="204"/>
      </rPr>
      <t xml:space="preserve">                                                   </t>
    </r>
    <r>
      <rPr>
        <sz val="10"/>
        <rFont val="Arial"/>
        <family val="2"/>
        <charset val="204"/>
      </rPr>
      <t>(в упаковке 4шт)</t>
    </r>
  </si>
  <si>
    <t xml:space="preserve">HD-7777                                                     </t>
  </si>
  <si>
    <t xml:space="preserve">HD-7777W                                                     </t>
  </si>
  <si>
    <r>
      <t xml:space="preserve">HD-798-W                                                                          </t>
    </r>
    <r>
      <rPr>
        <sz val="14"/>
        <rFont val="Arial"/>
        <family val="2"/>
        <charset val="204"/>
      </rPr>
      <t xml:space="preserve">  (в упаковке 4 шт)                       </t>
    </r>
    <r>
      <rPr>
        <b/>
        <sz val="14"/>
        <rFont val="Arial"/>
        <family val="2"/>
        <charset val="204"/>
      </rPr>
      <t xml:space="preserve">                          </t>
    </r>
  </si>
  <si>
    <r>
      <t xml:space="preserve">HD-798-ABS-G                                                              </t>
    </r>
    <r>
      <rPr>
        <sz val="14"/>
        <rFont val="Arial"/>
        <family val="2"/>
        <charset val="204"/>
      </rPr>
      <t xml:space="preserve">  (в упаковке 4 шт)     </t>
    </r>
    <r>
      <rPr>
        <b/>
        <sz val="14"/>
        <rFont val="Arial"/>
        <family val="2"/>
        <charset val="204"/>
      </rPr>
      <t xml:space="preserve">                                            </t>
    </r>
  </si>
  <si>
    <r>
      <rPr>
        <b/>
        <sz val="14"/>
        <rFont val="Arial"/>
        <family val="2"/>
        <charset val="204"/>
      </rPr>
      <t xml:space="preserve">HD-2008W                                            </t>
    </r>
    <r>
      <rPr>
        <sz val="14"/>
        <rFont val="Arial"/>
        <family val="2"/>
        <charset val="204"/>
      </rPr>
      <t xml:space="preserve"> (в упаковке 4 шт)</t>
    </r>
  </si>
  <si>
    <r>
      <rPr>
        <b/>
        <sz val="14"/>
        <rFont val="Arial"/>
        <family val="2"/>
        <charset val="204"/>
      </rPr>
      <t xml:space="preserve">HD-2008G                                           </t>
    </r>
    <r>
      <rPr>
        <sz val="14"/>
        <rFont val="Arial"/>
        <family val="2"/>
        <charset val="204"/>
      </rPr>
      <t xml:space="preserve"> (в упаковке 4 шт)</t>
    </r>
  </si>
  <si>
    <r>
      <rPr>
        <b/>
        <sz val="14"/>
        <rFont val="Arial"/>
        <family val="2"/>
        <charset val="204"/>
      </rPr>
      <t xml:space="preserve">HD-230S                                           </t>
    </r>
    <r>
      <rPr>
        <sz val="14"/>
        <rFont val="Arial"/>
        <family val="2"/>
        <charset val="204"/>
      </rPr>
      <t xml:space="preserve"> (в упаковке 8 шт)</t>
    </r>
  </si>
  <si>
    <r>
      <t xml:space="preserve">HD-298                                                      </t>
    </r>
    <r>
      <rPr>
        <sz val="14"/>
        <rFont val="Arial"/>
        <family val="2"/>
        <charset val="204"/>
      </rPr>
      <t xml:space="preserve">(в упаковке 4 шт)   </t>
    </r>
    <r>
      <rPr>
        <b/>
        <sz val="14"/>
        <rFont val="Arial"/>
        <family val="2"/>
        <charset val="204"/>
      </rPr>
      <t xml:space="preserve">                                                </t>
    </r>
  </si>
  <si>
    <r>
      <t xml:space="preserve">HD-298B                                                 </t>
    </r>
    <r>
      <rPr>
        <sz val="14"/>
        <rFont val="Arial"/>
        <family val="2"/>
        <charset val="204"/>
      </rPr>
      <t xml:space="preserve">(в упаковке 4 шт)    </t>
    </r>
    <r>
      <rPr>
        <b/>
        <sz val="14"/>
        <rFont val="Arial"/>
        <family val="2"/>
        <charset val="204"/>
      </rPr>
      <t xml:space="preserve">                                              </t>
    </r>
  </si>
  <si>
    <r>
      <rPr>
        <b/>
        <sz val="14"/>
        <rFont val="Arial"/>
        <family val="2"/>
        <charset val="204"/>
      </rPr>
      <t>HD-688</t>
    </r>
    <r>
      <rPr>
        <sz val="14"/>
        <rFont val="Arial"/>
        <family val="2"/>
        <charset val="204"/>
      </rPr>
      <t xml:space="preserve">                                                       (в упаковке 8 шт)</t>
    </r>
  </si>
  <si>
    <r>
      <rPr>
        <b/>
        <sz val="14"/>
        <rFont val="Arial"/>
        <family val="2"/>
        <charset val="204"/>
      </rPr>
      <t xml:space="preserve">HD-588B                                                     </t>
    </r>
    <r>
      <rPr>
        <sz val="14"/>
        <rFont val="Arial"/>
        <family val="2"/>
        <charset val="204"/>
      </rPr>
      <t>(в упаковке 8 шт)</t>
    </r>
  </si>
  <si>
    <r>
      <t xml:space="preserve"> </t>
    </r>
    <r>
      <rPr>
        <b/>
        <sz val="14"/>
        <rFont val="Arial"/>
        <family val="2"/>
        <charset val="204"/>
      </rPr>
      <t xml:space="preserve">HD-120                                               </t>
    </r>
    <r>
      <rPr>
        <sz val="14"/>
        <rFont val="Arial"/>
        <family val="2"/>
        <charset val="204"/>
      </rPr>
      <t xml:space="preserve"> (в упаковке 10 шт)</t>
    </r>
  </si>
  <si>
    <t>Тип: Вертикальный; Мощность: 2 кВт
Спиральный  нагревательный элемент</t>
  </si>
  <si>
    <t>Тип: Горизонтальный/Вертикальный; Мощность: 2 кВт
Спиральный  нагревательный элемент</t>
  </si>
  <si>
    <t>OR-15-7Н</t>
  </si>
  <si>
    <t>OR-25-11Н</t>
  </si>
  <si>
    <t>ORF-15-7Н</t>
  </si>
  <si>
    <t>ORF-20-9Н</t>
  </si>
  <si>
    <t>ORF-25-11Н</t>
  </si>
  <si>
    <t>OR-20-9Н</t>
  </si>
  <si>
    <t>Мощность: 2,5 кВт;11 секций;  БЕЗ  ВЕНТИЛЯТОРА;</t>
  </si>
  <si>
    <t>Мощность: 2,0 кВт;9 секций;  С ВЕНТИЛЯТОРОМ;</t>
  </si>
  <si>
    <t>HH-08-2H</t>
  </si>
  <si>
    <t xml:space="preserve">Тип: напольный; Мощность 0,8 кВт </t>
  </si>
  <si>
    <t xml:space="preserve">Almacom WH-80Y6C </t>
  </si>
  <si>
    <t>Мощность: 2 кВт; Объем: 80 литров</t>
  </si>
  <si>
    <t>Мощность: 1,5 кВт;7 секций;  C ВЕНТИЛЯТОРОМ;</t>
  </si>
  <si>
    <t>Мощность: 2,5 кВт;11 секций;  С ВЕНТИЛЯТОРОМ;</t>
  </si>
  <si>
    <t>КАРБОНОВЫЙ   ОБОГРЕВАТЕЛЬ  almacom</t>
  </si>
  <si>
    <t>CH-12-4C</t>
  </si>
  <si>
    <t>CH-10-3C</t>
  </si>
  <si>
    <t xml:space="preserve">Тип: напольный; Мощность 1,2 кВт;                                        Горизонтальное/Вертикальное положение </t>
  </si>
  <si>
    <t>AH-801С</t>
  </si>
  <si>
    <t>AH-807С</t>
  </si>
  <si>
    <t xml:space="preserve">Тип: напольный; Мощность 1 кВт; Вертикальное  положение </t>
  </si>
  <si>
    <t>нет</t>
  </si>
  <si>
    <t xml:space="preserve">• Площадь увлажнения: 35 м2
• Мощность увлажнения: 400 мл/ч
• Объем бака: 4 л
• Непрерывная работа в течение  9  часов
• Вес: 1,4  кг
• Потребляемая мощность: 38 Вт                                          
• Питание: 220Вт~50 Гц                                                                                  </t>
  </si>
  <si>
    <t xml:space="preserve">• Площадь увлажнения: 70 м2
• Мощность увлажнения: 700 мл/ч
• Объем бака: 7 л
• Вес: 2,8  кг
• Потребляемая мощность: 75 Вт                                          
• Питание: 220Вт~50 Гц                                                                                  </t>
  </si>
  <si>
    <t>WD-SСО-1AF</t>
  </si>
  <si>
    <t>WD-SСО-2AF</t>
  </si>
  <si>
    <t>WD-SСО-3AF</t>
  </si>
  <si>
    <t>WD-SСО-5AF</t>
  </si>
  <si>
    <r>
      <t xml:space="preserve">Тип: </t>
    </r>
    <r>
      <rPr>
        <b/>
        <sz val="9"/>
        <rFont val="Arial"/>
        <family val="2"/>
        <charset val="204"/>
      </rPr>
      <t>НАПОЛЬНЫЙ, c внутренней загрузкой бутыля</t>
    </r>
    <r>
      <rPr>
        <sz val="9"/>
        <rFont val="Arial"/>
        <family val="2"/>
        <charset val="1"/>
      </rPr>
      <t xml:space="preserve">
Компрессорное охлаждение и нагрев
Хладагент R134а                                                   </t>
    </r>
  </si>
  <si>
    <t>WD-CFO-2AF</t>
  </si>
  <si>
    <t>WD-CFO-1AF</t>
  </si>
  <si>
    <r>
      <t xml:space="preserve">Тип: </t>
    </r>
    <r>
      <rPr>
        <b/>
        <sz val="9"/>
        <rFont val="Arial"/>
        <family val="2"/>
        <charset val="204"/>
      </rPr>
      <t xml:space="preserve">НАПОЛЬНЫЙ со шкафчиком.  Цвет металлик </t>
    </r>
    <r>
      <rPr>
        <sz val="9"/>
        <rFont val="Arial"/>
        <family val="2"/>
        <charset val="1"/>
      </rPr>
      <t xml:space="preserve">
Компрессорное охлаждение и нагрев
Хладагент R134a
Холодильная камера 0,16 м3</t>
    </r>
  </si>
  <si>
    <t>Тип: НАПОЛЬНЫЙ со шкафчиком
Компрессорное охлаждение и нагрев
Хладагент R134a
Холодильная камера 0,16 м3</t>
  </si>
  <si>
    <t>нет в наличии</t>
  </si>
  <si>
    <t>Акция!!!</t>
  </si>
  <si>
    <t>Мощность: 1,5 кВт;7 секций;  БЕЗ  ВЕНТИЛЯТОРА;</t>
  </si>
  <si>
    <t>ACD-100HМh</t>
  </si>
  <si>
    <t>ACD-120HМ</t>
  </si>
  <si>
    <t>18-20 м2</t>
  </si>
  <si>
    <t>30-35 м2</t>
  </si>
  <si>
    <t>50-55 м2</t>
  </si>
  <si>
    <t xml:space="preserve"> 65-70 м2</t>
  </si>
  <si>
    <t>20-25 м2</t>
  </si>
  <si>
    <t>65-70 м2</t>
  </si>
  <si>
    <t>Прим.</t>
  </si>
  <si>
    <t>Розн. цена, тенге</t>
  </si>
  <si>
    <t>Дилер. цена, тенге</t>
  </si>
  <si>
    <t>ACH-09I</t>
  </si>
  <si>
    <t>ACH-12I</t>
  </si>
  <si>
    <t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</t>
  </si>
  <si>
    <t>ACH-07AF</t>
  </si>
  <si>
    <t>ACH-09AF</t>
  </si>
  <si>
    <t>ACH-12AF</t>
  </si>
  <si>
    <t>ACH-18AF</t>
  </si>
  <si>
    <t>ACH-24AF</t>
  </si>
  <si>
    <t xml:space="preserve"> 90-100 м2 </t>
  </si>
  <si>
    <t xml:space="preserve"> 120-140 м2</t>
  </si>
  <si>
    <t>140-160 м2</t>
  </si>
  <si>
    <t xml:space="preserve"> 200-230 м2 </t>
  </si>
  <si>
    <t>270-290 м2</t>
  </si>
  <si>
    <t>90-100 м2</t>
  </si>
  <si>
    <t>120-140 м2</t>
  </si>
  <si>
    <t>160-180 м2</t>
  </si>
  <si>
    <t xml:space="preserve"> 320-350 м2</t>
  </si>
  <si>
    <t>30 - 35 м2</t>
  </si>
  <si>
    <t>50 - 55 м2</t>
  </si>
  <si>
    <t xml:space="preserve"> 160-180 м2</t>
  </si>
  <si>
    <t>Напольные кондиционеры almacom (Гарантия: 36 месяцев)</t>
  </si>
  <si>
    <t>ACC-12HM</t>
  </si>
  <si>
    <t>ACC-18HM</t>
  </si>
  <si>
    <t>ACC-24HM</t>
  </si>
  <si>
    <t>ACC-36HM</t>
  </si>
  <si>
    <t>ACC-48HM</t>
  </si>
  <si>
    <t>ACC-60HM</t>
  </si>
  <si>
    <t>ACD-80HМh</t>
  </si>
  <si>
    <t>35кВт</t>
  </si>
  <si>
    <t>53кВт</t>
  </si>
  <si>
    <t>ACF-18HM</t>
  </si>
  <si>
    <t>AМD-36HМ</t>
  </si>
  <si>
    <t>AMD-18HМ</t>
  </si>
  <si>
    <t>AMD-48HМ</t>
  </si>
  <si>
    <t>ACCU-22C1</t>
  </si>
  <si>
    <t>ACCU-28C1</t>
  </si>
  <si>
    <t>ACCU-35C1</t>
  </si>
  <si>
    <t>ACCU-22KIT</t>
  </si>
  <si>
    <t>ACCU-28KIT</t>
  </si>
  <si>
    <t>ACCU-35KIT</t>
  </si>
  <si>
    <t>Комплекты установки для ККБ</t>
  </si>
  <si>
    <t>ACF-48HM</t>
  </si>
  <si>
    <t>для модели ACCU-22C1</t>
  </si>
  <si>
    <t>для модели ACCU-28C1</t>
  </si>
  <si>
    <t>для модели ACCU-35C1</t>
  </si>
  <si>
    <t xml:space="preserve">ACP-24LP </t>
  </si>
  <si>
    <t>AMD-24HМ</t>
  </si>
  <si>
    <t>AMD-60HM</t>
  </si>
  <si>
    <t>ACF-60HM</t>
  </si>
  <si>
    <t>AR-25T1</t>
  </si>
  <si>
    <t>87кВт</t>
  </si>
  <si>
    <t xml:space="preserve"> Сплит-система; R410А; ПДУ;  авторестарт; блокировка панели управления; 5м медная инсталляция</t>
  </si>
  <si>
    <t xml:space="preserve"> Сплит-система; R410А; ПДУ;  авторестарт; блокировка панели управления; без инсталляции</t>
  </si>
  <si>
    <t>200-230м2</t>
  </si>
  <si>
    <t>Уцененный товар</t>
  </si>
  <si>
    <t>Almacom</t>
  </si>
  <si>
    <t>кол-во</t>
  </si>
  <si>
    <t>примечание</t>
  </si>
  <si>
    <t>цена</t>
  </si>
  <si>
    <t xml:space="preserve"> Внутренний блок</t>
  </si>
  <si>
    <t>almacom  АСН-18H1A</t>
  </si>
  <si>
    <t>LG</t>
  </si>
  <si>
    <t>Кондиционер LG G09LHC NBA8 (внут.блок) Китай, 2011</t>
  </si>
  <si>
    <t>Кондиционер LG S09LHQ NW0 (внут бл) -----, 2012</t>
  </si>
  <si>
    <t>Кондиционер LG S18LHQ NС81 (внут бл) -----, 2010</t>
  </si>
  <si>
    <t>внутренний блок</t>
  </si>
  <si>
    <t>AID-1</t>
  </si>
  <si>
    <t>AID-2</t>
  </si>
  <si>
    <t>AID-3</t>
  </si>
  <si>
    <t>ACD-150HМh</t>
  </si>
  <si>
    <t>ACD-192HМh</t>
  </si>
  <si>
    <t xml:space="preserve"> 420-440 м2</t>
  </si>
  <si>
    <t>530-560м2</t>
  </si>
  <si>
    <t>14-16 м2</t>
  </si>
  <si>
    <t>18-22 м2</t>
  </si>
  <si>
    <t>25-32 м2</t>
  </si>
  <si>
    <t>45-50 м2</t>
  </si>
  <si>
    <t>60-65 м2</t>
  </si>
  <si>
    <t>AR-30T1</t>
  </si>
  <si>
    <t>98 кВт</t>
  </si>
  <si>
    <t xml:space="preserve">Сплит-система; Класс А;  авторестарт; ионизатор; самоочистка; антиплесень; золотое напыление на  теплообменниках; I-Feel; Turbo; IFavor; пульт с подсветкой; подставка под ПДУ; R410A; медная инсталляция; </t>
  </si>
  <si>
    <t xml:space="preserve">Сплит-система;  Класс А;  авторестарт; ионизатор; самоочистка; антиплесень; золотое напыление на  теплообменниках; глубокий сон; I-Feel; Turbo; комбинированный  фильтр; подставка под ПДУ; R410A; медная инсталляция; </t>
  </si>
  <si>
    <t>OWM-24RN</t>
  </si>
  <si>
    <t>ACH-07D</t>
  </si>
  <si>
    <t>ACH-09D</t>
  </si>
  <si>
    <t>ACH-12D</t>
  </si>
  <si>
    <t>ACH-18D</t>
  </si>
  <si>
    <t>ACH-24D</t>
  </si>
  <si>
    <t>ACH-07AS</t>
  </si>
  <si>
    <t>ACH-09AS</t>
  </si>
  <si>
    <t>ACH-12AS</t>
  </si>
  <si>
    <t>ACH-18AS</t>
  </si>
  <si>
    <t>ACH-24AS</t>
  </si>
  <si>
    <t>Сплит-система; Класс A; авторестарт;  I-Feel; самоочистка; антиплесень; R410A; медная инсталляция;</t>
  </si>
  <si>
    <t>ACH-09ID</t>
  </si>
  <si>
    <t>ACH-12ID</t>
  </si>
  <si>
    <t>ACH-24ID</t>
  </si>
  <si>
    <t>almacom FAVORITE (Гарантия: 36 месяцев)</t>
  </si>
  <si>
    <t>almacom Standart (Гарантия: 36 месяцев)</t>
  </si>
  <si>
    <t xml:space="preserve">ACH-09G </t>
  </si>
  <si>
    <t>ACH-07G</t>
  </si>
  <si>
    <t xml:space="preserve">ACH-12G </t>
  </si>
  <si>
    <t xml:space="preserve">ACH-18G </t>
  </si>
  <si>
    <t xml:space="preserve">ACH-24G </t>
  </si>
  <si>
    <t>almacom Inverter  (Гарантия: 36 месяцев)</t>
  </si>
  <si>
    <t>almacom Inverter Diamond (Гарантия: 36 месяцев)</t>
  </si>
  <si>
    <t>almacom мобильные  (Гарантия: 12 месяцев)</t>
  </si>
  <si>
    <t>almacom Diamond (Гарантия: 36 месяцев)</t>
  </si>
  <si>
    <t>на кондиционеры и расходные  материалы</t>
  </si>
  <si>
    <t>almacom  АСН-09H5</t>
  </si>
  <si>
    <t>almacom  АСН-24LC</t>
  </si>
  <si>
    <t>напольные</t>
  </si>
  <si>
    <t>almacom  ACP-41Н</t>
  </si>
  <si>
    <t>внутренний блок (нарушена упаковка, вмятина на корпусе)</t>
  </si>
  <si>
    <t>полупромышленные</t>
  </si>
  <si>
    <t>almacom  ACF-42HM</t>
  </si>
  <si>
    <t>almacom  AMD-36HA</t>
  </si>
  <si>
    <t>almacom  AMD-42HA</t>
  </si>
  <si>
    <t>almacom  ACF-48HA (внут.бл)</t>
  </si>
  <si>
    <t xml:space="preserve">10 тонн; охлаждение+обогрев </t>
  </si>
  <si>
    <t xml:space="preserve">15 тонн; охлаждение+обогрев </t>
  </si>
  <si>
    <t xml:space="preserve">25 тонн; охлаждение+обогрев </t>
  </si>
  <si>
    <t>30 тонн; охлаждение+обогрев</t>
  </si>
  <si>
    <t>AID-4</t>
  </si>
  <si>
    <t>AMV-80MD</t>
  </si>
  <si>
    <t>AMV-90MD</t>
  </si>
  <si>
    <t>AMV-112MD</t>
  </si>
  <si>
    <t>AMV-140MD</t>
  </si>
  <si>
    <t>AMV-22WM</t>
  </si>
  <si>
    <t>AMV-28WM</t>
  </si>
  <si>
    <t>AMV-36WM</t>
  </si>
  <si>
    <t>AMV-45WM</t>
  </si>
  <si>
    <t>AMV-56WM</t>
  </si>
  <si>
    <t>AMV-71WM</t>
  </si>
  <si>
    <t>AMV-80WM</t>
  </si>
  <si>
    <t>AMV-90WM</t>
  </si>
  <si>
    <t>AMV-280X5</t>
  </si>
  <si>
    <t>AMV-335X5</t>
  </si>
  <si>
    <t>AMV-400X5</t>
  </si>
  <si>
    <t>AMV-450X5</t>
  </si>
  <si>
    <t>AMV-500X5</t>
  </si>
  <si>
    <t>AMV-560X5</t>
  </si>
  <si>
    <t>AMV-615X5</t>
  </si>
  <si>
    <t>2,2 kw</t>
  </si>
  <si>
    <t>2,8 kw</t>
  </si>
  <si>
    <t>3,6 kw</t>
  </si>
  <si>
    <t>4,5 kw</t>
  </si>
  <si>
    <t>5,6 kw</t>
  </si>
  <si>
    <t>7,1 kw</t>
  </si>
  <si>
    <t>8 kw</t>
  </si>
  <si>
    <t>9 kw</t>
  </si>
  <si>
    <t>11,2 kw</t>
  </si>
  <si>
    <t>14 kw</t>
  </si>
  <si>
    <t>28 kw</t>
  </si>
  <si>
    <t>33,5 kw</t>
  </si>
  <si>
    <t>40 kw</t>
  </si>
  <si>
    <t>45 kw</t>
  </si>
  <si>
    <t>50 kw</t>
  </si>
  <si>
    <t>56 kw</t>
  </si>
  <si>
    <t>61,5 kw</t>
  </si>
  <si>
    <t>Внутренний блок канальный среднего давления</t>
  </si>
  <si>
    <t>ACP-60AЕ</t>
  </si>
  <si>
    <t>ограничено</t>
  </si>
  <si>
    <t>ACC-48HА</t>
  </si>
  <si>
    <t>ACC-60HА</t>
  </si>
  <si>
    <t>AHD-48НА</t>
  </si>
  <si>
    <t>AMV-28С4</t>
  </si>
  <si>
    <t>AMV-36С4</t>
  </si>
  <si>
    <t>AMV-45С4</t>
  </si>
  <si>
    <t>AMV-56С4</t>
  </si>
  <si>
    <t>AMV-71С4</t>
  </si>
  <si>
    <t>AMV-90С4</t>
  </si>
  <si>
    <t>AMV-112С4</t>
  </si>
  <si>
    <t>AMV-140С4</t>
  </si>
  <si>
    <t>AOD-2</t>
  </si>
  <si>
    <t>AOD-3</t>
  </si>
  <si>
    <t>AOD-4</t>
  </si>
  <si>
    <t>серия 
GOLD</t>
  </si>
  <si>
    <t>Серия 
FAVORITE</t>
  </si>
  <si>
    <t>Серия 
DIAMOND</t>
  </si>
  <si>
    <t>серия 
STANDART</t>
  </si>
  <si>
    <t>INVERTER</t>
  </si>
  <si>
    <t>INVERTER DIAMOND</t>
  </si>
  <si>
    <t>ACP-24LW</t>
  </si>
  <si>
    <t>ACC-18HА</t>
  </si>
  <si>
    <t>AМD-36HА</t>
  </si>
  <si>
    <t>AMD-48HА</t>
  </si>
  <si>
    <t>AMD-60HА</t>
  </si>
  <si>
    <t>Сплит-система инвертор; R410А; ПДУ;  авторестарт; блокировка панели управления; 5м медная инсталляция; цвет золотистый</t>
  </si>
  <si>
    <t>Сплит-система инвертор; R410А; ПДУ;  авторестарт; блокировка панели управления; 5м медная инсталляция; цвет белый</t>
  </si>
  <si>
    <t>ACP-24AЕ</t>
  </si>
  <si>
    <t>ACC-24HА</t>
  </si>
  <si>
    <t>ACC-36HА</t>
  </si>
  <si>
    <t>ACP-36AЕ</t>
  </si>
  <si>
    <t>OWM-07RS</t>
  </si>
  <si>
    <t>OWM-09RS</t>
  </si>
  <si>
    <t>OFS-60S</t>
  </si>
  <si>
    <t>Сплит-система; авторестарт; Класс А,:Запуск при низком напряжении: энергосбережение: Бесшумность: Автоматическая очистка: Таймер: Быстрое охл нагрев; R410A; медная инсталляция;</t>
  </si>
  <si>
    <t>AМD-24HА</t>
  </si>
  <si>
    <t>ACCU-10C1</t>
  </si>
  <si>
    <t>10 кВт</t>
  </si>
  <si>
    <t>22 кВт</t>
  </si>
  <si>
    <t>28 кВт</t>
  </si>
  <si>
    <t>35 кВт</t>
  </si>
  <si>
    <t>ACCU-07KIT</t>
  </si>
  <si>
    <t>ACCU-10KIT</t>
  </si>
  <si>
    <t>для модели ACCU-07C1</t>
  </si>
  <si>
    <t>для модели ACCU-10C1</t>
  </si>
  <si>
    <t>AHD-60HM</t>
  </si>
  <si>
    <t>СКЛАД АРТАРИ</t>
  </si>
  <si>
    <t>almacom  АСН-05С1</t>
  </si>
  <si>
    <t>almacom  АСН-07G (2015)</t>
  </si>
  <si>
    <t>на витрине</t>
  </si>
  <si>
    <t>almacom  АСН-09G (2015)</t>
  </si>
  <si>
    <t>комплект (был в работе)</t>
  </si>
  <si>
    <t>СКЛАД ЗООВЕТСНАБ</t>
  </si>
  <si>
    <t>almacom  АСН-09AR</t>
  </si>
  <si>
    <t>almacom  АСН-09IV</t>
  </si>
  <si>
    <t>СЕРВИСНЫЙ ЦЕНТР</t>
  </si>
  <si>
    <t>almacom  АСН-12AF</t>
  </si>
  <si>
    <t>после ремонта, нет инсталляции</t>
  </si>
  <si>
    <t>almacom  АСН-18ID</t>
  </si>
  <si>
    <t>после ремонта</t>
  </si>
  <si>
    <t>внутренний блок (Без упаковки и документации)</t>
  </si>
  <si>
    <t>внутренний блок (Нарушена упаковка)</t>
  </si>
  <si>
    <t>ACP-48AE</t>
  </si>
  <si>
    <t>AHD-60HА</t>
  </si>
  <si>
    <r>
      <t xml:space="preserve">Сплит-система; без инсталляции; R410А; ПДУ; 
авторестарт; </t>
    </r>
    <r>
      <rPr>
        <b/>
        <sz val="10"/>
        <rFont val="Arial"/>
        <family val="2"/>
        <charset val="204"/>
      </rPr>
      <t>БЕЗ ИНСТАЛЛЯЦИИ</t>
    </r>
  </si>
  <si>
    <t>Уральск</t>
  </si>
  <si>
    <t>ACF-18HA</t>
  </si>
  <si>
    <t>ACF-24HA</t>
  </si>
  <si>
    <r>
      <t xml:space="preserve">Сплит-система; среднего давления; R410А; ПДУ; 
 авторестарт; </t>
    </r>
    <r>
      <rPr>
        <b/>
        <sz val="10"/>
        <rFont val="Arial"/>
        <family val="2"/>
        <charset val="204"/>
      </rPr>
      <t>БЕЗ ИНСТАЛЛЯЦИИ</t>
    </r>
  </si>
  <si>
    <r>
      <t>Сплит-система; высокого давления; R410А; ПДУ; 
 авторестарт;</t>
    </r>
    <r>
      <rPr>
        <b/>
        <sz val="10"/>
        <rFont val="Arial"/>
        <family val="2"/>
        <charset val="204"/>
      </rPr>
      <t xml:space="preserve"> БЕЗ ИНСТАЛЛЯЦИИ</t>
    </r>
  </si>
  <si>
    <r>
      <t xml:space="preserve">Промышленные кондиционеры Сплит-система; высокого давления; R410А; ПДУ; авторестарт; </t>
    </r>
    <r>
      <rPr>
        <b/>
        <sz val="10"/>
        <rFont val="Arial"/>
        <family val="2"/>
        <charset val="204"/>
      </rPr>
      <t>БЕЗ ИНСТАЛЛЯЦИИ</t>
    </r>
  </si>
  <si>
    <t>ACF-60HA</t>
  </si>
  <si>
    <r>
      <t>Сплит-система; без инсталляции; R410А; ПДУ; 
авторестарт;</t>
    </r>
    <r>
      <rPr>
        <b/>
        <sz val="10"/>
        <rFont val="Arial"/>
        <family val="2"/>
        <charset val="204"/>
      </rPr>
      <t xml:space="preserve"> БЕЗ ИНСТАЛЛЯЦИИ</t>
    </r>
  </si>
  <si>
    <t>Пульт для полупрома</t>
  </si>
  <si>
    <t>серия НА</t>
  </si>
  <si>
    <t>ACF-48HА</t>
  </si>
  <si>
    <t>AHD-48HМ</t>
  </si>
  <si>
    <t>1 комплект,</t>
  </si>
  <si>
    <t xml:space="preserve">Проводной пульт для полупрома </t>
  </si>
  <si>
    <t>almacom  АСН-24AR</t>
  </si>
  <si>
    <t>комплект (нет коробки, был в работе)</t>
  </si>
  <si>
    <t>almacom ACP-60A</t>
  </si>
  <si>
    <t>внутренние блоки (нарушена упаковка)</t>
  </si>
  <si>
    <t>ACCU-07C1</t>
  </si>
  <si>
    <t>7 кВт</t>
  </si>
  <si>
    <t>ACCU-16C1</t>
  </si>
  <si>
    <t>16 кВт</t>
  </si>
  <si>
    <t>AFT3-200G50</t>
  </si>
  <si>
    <t>AFT3-300G50</t>
  </si>
  <si>
    <t>AFT3-400G50</t>
  </si>
  <si>
    <t>AFT3-500G50</t>
  </si>
  <si>
    <t>AFT3-600G50</t>
  </si>
  <si>
    <t>AFT3-800G50</t>
  </si>
  <si>
    <t>AFT3-1000G50</t>
  </si>
  <si>
    <t>AFT3-1200G50</t>
  </si>
  <si>
    <t>AFF5-300</t>
  </si>
  <si>
    <t>AFF5-400</t>
  </si>
  <si>
    <t>AFF5-500</t>
  </si>
  <si>
    <t>AFT3-1400G50</t>
  </si>
  <si>
    <t>AFF5-450</t>
  </si>
  <si>
    <t>ACCU-14C1</t>
  </si>
  <si>
    <t>45 кВт</t>
  </si>
  <si>
    <t>ACCU-45C1</t>
  </si>
  <si>
    <t>ACCU-53C1</t>
  </si>
  <si>
    <t>ACCU-61C1</t>
  </si>
  <si>
    <t>ACCU-70C1</t>
  </si>
  <si>
    <t>ACCU-105C1</t>
  </si>
  <si>
    <t>14 кВт</t>
  </si>
  <si>
    <t>53 кВт</t>
  </si>
  <si>
    <t>61 кВт</t>
  </si>
  <si>
    <t>70 кВт</t>
  </si>
  <si>
    <t>105 кВт</t>
  </si>
  <si>
    <t>ACCU-03KIT</t>
  </si>
  <si>
    <t>ACCU-05KIT</t>
  </si>
  <si>
    <t>для модели ACCU-03C1</t>
  </si>
  <si>
    <t>для модели ACCU-05C1</t>
  </si>
  <si>
    <t>ACCU-14KIT</t>
  </si>
  <si>
    <t>ACCU-16KIT</t>
  </si>
  <si>
    <t>для модели ACCU-14C1</t>
  </si>
  <si>
    <t>для модели ACCU-16C1</t>
  </si>
  <si>
    <t>ACCU-45KIT</t>
  </si>
  <si>
    <t>ACCU-53/61KIT</t>
  </si>
  <si>
    <t>ACCU-70KIT</t>
  </si>
  <si>
    <t>ACCU-105KIT</t>
  </si>
  <si>
    <t>для модели ACCU-45C1</t>
  </si>
  <si>
    <t>для модели ACCU-53/61C1</t>
  </si>
  <si>
    <t>для модели ACCU-70C1</t>
  </si>
  <si>
    <t>для модели ACCU-105C1</t>
  </si>
  <si>
    <t>под заказ</t>
  </si>
  <si>
    <t>OWM-07NS</t>
  </si>
  <si>
    <t>OWM-09NS</t>
  </si>
  <si>
    <t>OWM-18NS</t>
  </si>
  <si>
    <t>OWM-24NS</t>
  </si>
  <si>
    <t>ACH-09LC</t>
  </si>
  <si>
    <t>ACH-12LC</t>
  </si>
  <si>
    <t>ACH-18LC</t>
  </si>
  <si>
    <t>ACH-24LC</t>
  </si>
  <si>
    <t xml:space="preserve"> OTEX  (2020)</t>
  </si>
  <si>
    <t>Серия LUXURY COMFORT</t>
  </si>
  <si>
    <t xml:space="preserve">Сплит-система; Класс А; Премиум класс; Черная стеклянная панель авторестарт; ионизатор; самоочистка; антиплесень; золотое напыление на  теплообменниках; I-Feel; Turbo; R410A; медная инсталляция; </t>
  </si>
  <si>
    <t>almacom LUXURY COMFORT (Гарантия: 36 месяцев) NEW</t>
  </si>
  <si>
    <t>Сплит-система; авторестарт; Класс C,:Запуск при низком напряжении: энергосбережение: Бесшумность: Автоматическая очистка: Таймер: Быстрое охл нагрев; R410A;без инсталляции</t>
  </si>
  <si>
    <t>AМD-18HА</t>
  </si>
  <si>
    <t>ACF-36HA</t>
  </si>
  <si>
    <t>ACC-12HА</t>
  </si>
  <si>
    <t>переносные, охл-обогрев</t>
  </si>
  <si>
    <t>AFD-300</t>
  </si>
  <si>
    <t>AFD-500</t>
  </si>
  <si>
    <t>AFA-600R</t>
  </si>
  <si>
    <t>AFA-750R</t>
  </si>
  <si>
    <t>AFA-850R</t>
  </si>
  <si>
    <t>AFA-950R</t>
  </si>
  <si>
    <t>AFA-1200R</t>
  </si>
  <si>
    <t>AFA1500R</t>
  </si>
  <si>
    <t>22,4 kw</t>
  </si>
  <si>
    <t>26 kw</t>
  </si>
  <si>
    <t>AMV-224D/M3</t>
  </si>
  <si>
    <t>AMV-260D/M3</t>
  </si>
  <si>
    <t>AMV-280D/M3</t>
  </si>
  <si>
    <t>AMV-335D/M3</t>
  </si>
  <si>
    <t>AMV-400D/M3</t>
  </si>
  <si>
    <t>AMV-450D/M3</t>
  </si>
  <si>
    <t>KJR-18B/E-B</t>
  </si>
  <si>
    <t>KJR-15B/E</t>
  </si>
  <si>
    <t>AHRV-2000</t>
  </si>
  <si>
    <t xml:space="preserve">ALC-200/C </t>
  </si>
  <si>
    <t>Охл. 185кВт -  обогрев 200 кВт</t>
  </si>
  <si>
    <t>2000m3/h</t>
  </si>
  <si>
    <t>ACH-18ID</t>
  </si>
  <si>
    <t xml:space="preserve"> 50-55 м2</t>
  </si>
  <si>
    <t xml:space="preserve">ALC-250/C </t>
  </si>
  <si>
    <t>Охл. 250кВт -  обогрев 270 кВт</t>
  </si>
  <si>
    <t>АMV-280Х6-I</t>
  </si>
  <si>
    <t>АMV-450Х6-I</t>
  </si>
  <si>
    <t>АMV-560Х6-I</t>
  </si>
  <si>
    <t>AHRV-5000</t>
  </si>
  <si>
    <t>5000m3/h</t>
  </si>
  <si>
    <t>10 kw</t>
  </si>
  <si>
    <t>AMV-100С4</t>
  </si>
  <si>
    <t>AMV-18С1</t>
  </si>
  <si>
    <t>1,8 kw</t>
  </si>
  <si>
    <t>AMV-22С1</t>
  </si>
  <si>
    <t>AMV-22С4</t>
  </si>
  <si>
    <t>АMV-335Х6-I</t>
  </si>
  <si>
    <t>АMV-615Х6-I</t>
  </si>
  <si>
    <t>АMV-730Х6-I</t>
  </si>
  <si>
    <t>71,3 kw</t>
  </si>
  <si>
    <t>AMV-80С4</t>
  </si>
  <si>
    <t>Внутренний блок настенный, DC Fan</t>
  </si>
  <si>
    <t>Руфтопы (Гарантия: 36 месяцев)</t>
  </si>
  <si>
    <t>Вентиляторы с рекуперацией тепла (Гарантия: 36 месяцев)</t>
  </si>
  <si>
    <t>Компрессорно Конденсаторные Блоки (Гарантия: 36 месяцев)</t>
  </si>
  <si>
    <t>Мультизональные системы   (Гарантия: 36 месяцев)</t>
  </si>
  <si>
    <t>Охл. 4,5 кВт, Расход воздуха max 850 m3</t>
  </si>
  <si>
    <t>Охл. 3 кВт, Расход воздуха max 510 m3</t>
  </si>
  <si>
    <t>Охл. 5,1 кВт, Расход воздуха max 1000 m3</t>
  </si>
  <si>
    <t>Охл. 5,9 кВт, Расход воздуха max 1250 m3</t>
  </si>
  <si>
    <t>Охл. 7,3 кВт, Расход воздуха max 1250 m3</t>
  </si>
  <si>
    <t>Охл. 8,2 кВт, Расход воздуха max 1600 m3</t>
  </si>
  <si>
    <t>Охл.10,4 кВт, Расход воздуха max 2000 m3</t>
  </si>
  <si>
    <t>Охл. 12,9 кВт, Расход воздуха max 2550 m3</t>
  </si>
  <si>
    <t>Охл. 3,6 кВт, Расход воздуха max 680 m3</t>
  </si>
  <si>
    <t>Охл. 6,8 кВт, Расход воздуха max 1360 m3</t>
  </si>
  <si>
    <t>Охл. 7,8 кВт, Расход воздуха max 1700 m3</t>
  </si>
  <si>
    <t>Охл. 10,2 кВт, Расход воздуха max 2040 m3</t>
  </si>
  <si>
    <t>Охл. 11,5 кВт, расход воздуха max 2380 m3</t>
  </si>
  <si>
    <t>Охл. 3,3 кВт, расход воздуха max 680 m3</t>
  </si>
  <si>
    <t>Охл. 4 кВт, расход воздуха max 765 m3</t>
  </si>
  <si>
    <t>Охл. 4,8 кВт, расход воздуха max 850 m3</t>
  </si>
  <si>
    <t>Охл. 2,6 кВт, расход воздуха max 510 m3</t>
  </si>
  <si>
    <t>Модульный инвертерный наружный блок, 12 HP</t>
  </si>
  <si>
    <t>Модульный инвертерный наружный блок, 10 HP</t>
  </si>
  <si>
    <t>Модульный инвертерный наружный блок, 14HP</t>
  </si>
  <si>
    <t>Индивидуальный инвертерный наружный блок, 8 HP</t>
  </si>
  <si>
    <t>Модульный инвертерный наружный блок, 22 HP</t>
  </si>
  <si>
    <t>Модульный инвертерный наружный блок, 20 HP</t>
  </si>
  <si>
    <t>Модульный инвертерный наружный блок, 18 HP</t>
  </si>
  <si>
    <t>Модульный инвертерный наружный блок, 16 HP</t>
  </si>
  <si>
    <t>Индивидуальный инвертерный наружный блок, 9 HP</t>
  </si>
  <si>
    <t>Индивидуальный инвертерный наружный блок, 12 HP</t>
  </si>
  <si>
    <t>Индивидуальный инвертерный наружный блок, 10 HP</t>
  </si>
  <si>
    <t>Индивидуальный инвертерный наружный блок, 14 HP</t>
  </si>
  <si>
    <t>Индивидуальный инвертерный наружный блок, 16 HP</t>
  </si>
  <si>
    <t>Индивидуальный инвертерный наружный блок, 20 HP</t>
  </si>
  <si>
    <t>Индивидуальный инвертерный наружный блок, 22 HP</t>
  </si>
  <si>
    <t>Индивидуальный инвертерный наружный блок, 26 HP</t>
  </si>
  <si>
    <t>Кассетный 4-х поточный, 2-х трубный, пульт (ПДУ) в комплекте, + панель AFQ4-02C</t>
  </si>
  <si>
    <t>Кассетный 4-х поточный, 2-х трубный, пульт (ПДУ) в комплекте, серия Compact + панель AFQ4-03B1</t>
  </si>
  <si>
    <t>Кассетный 4-х поточный, 2-х трубный, пульт (ПДУ) в комплекте,  серия Compact + панель AFQ4-03B1</t>
  </si>
  <si>
    <t>Термостат механический (пульт управления) для канального</t>
  </si>
  <si>
    <t>Термостат механический (пульт управления) для напольного</t>
  </si>
  <si>
    <t>AFH2-250R3</t>
  </si>
  <si>
    <t xml:space="preserve">Модульный чиллер с обогревом, со спиральным компрессором переменной произ. 380-415В-3Ф-50Гц, R-410A, </t>
  </si>
  <si>
    <t>AMV-22MD</t>
  </si>
  <si>
    <t>AMV-28MD</t>
  </si>
  <si>
    <t>AMV-36MD</t>
  </si>
  <si>
    <t>AMV-45MD</t>
  </si>
  <si>
    <t>AMV-56MD</t>
  </si>
  <si>
    <t>AMV-71MD</t>
  </si>
  <si>
    <t>Канальный, 2-х трубный, 3-х рядный, среднего давления, подсоединение труб слева (возможность переподсоединения труб справа), не комплектуется пультом управления, 50 Pa</t>
  </si>
  <si>
    <t>Канальный, 2-х трубный, 3-х рядный, среднего давления, подсоединение труб слева (возможность передподсоединения труб справа), не комплектуется пультом управления,  50 Pa</t>
  </si>
  <si>
    <t>Канальный, 2-х трубный, 3-х рядный, среднего давления, подсоединение труб слева (возможность переподсоединение труб справа), не комплектуется пультом управления,  50 Pa</t>
  </si>
  <si>
    <t>Разветвители для VRF наружнего блока</t>
  </si>
  <si>
    <t>Разветвители для VRF внутреннего блока</t>
  </si>
  <si>
    <t>Аксессуары для VRF</t>
  </si>
  <si>
    <t>AHUKZ-01C</t>
  </si>
  <si>
    <t>AHUKZ-02C</t>
  </si>
  <si>
    <t>AHUKZ-03C</t>
  </si>
  <si>
    <t xml:space="preserve">Блок управления для подключения приточно вытяжных установок 9кВт - 20кВт, </t>
  </si>
  <si>
    <t xml:space="preserve">Блок управления для подключения приточно вытяжных установок 20кВт - 36кВт, </t>
  </si>
  <si>
    <t xml:space="preserve">Блок управления для подключения приточно вытяжных установок 36кВт - 56кВт, </t>
  </si>
  <si>
    <t>CCM-15</t>
  </si>
  <si>
    <t>Smart APP контроль, преобразователь данных, с управлением до 64 внутр. Блоков</t>
  </si>
  <si>
    <t>Напольный, 2-х трубный, 3-х рядный, корпусный, подсоединение труб слева (возможность переподсоединения труб справа), не комплектуется пультом управления.</t>
  </si>
  <si>
    <t>Напольный, 2-х трубный, 2-х рядный, корпусный, подсоединение труб слева (возможность переподсоединения труб справа), не комплектуется пультом управления.</t>
  </si>
  <si>
    <t>Напольный, 2-х трубный, 2-х рядный, корпусный, подсоединение труб слева (возможность перподсоединения труб справа), не комплектуется пультом управления.</t>
  </si>
  <si>
    <t>110-140 м2</t>
  </si>
  <si>
    <t>Чиллер (гарантия при использовании на воде - 12 месяцев, на этиленгликоле - 24 месяцев)</t>
  </si>
  <si>
    <t>Фанкойлы (гарантия при использовании на воде - 12 месяцев, на этиленгликоле - 24 месяцев)</t>
  </si>
  <si>
    <t>Охл. 2 кВт, Расход воздуха max 362 m3</t>
  </si>
  <si>
    <t>Охл. 2,7 кВт, Расход воздуха max 515 m3</t>
  </si>
  <si>
    <t>Охл. 4,3 кВт, Расход воздуха max 860 m3</t>
  </si>
  <si>
    <t xml:space="preserve">Охл. 5 кВт, Расход воздуха max 1052 m3 </t>
  </si>
  <si>
    <t>Внутренний блок кассетный (однопоточный) + панель AFQ1-02D</t>
  </si>
  <si>
    <t>Серия "Compact", Внутренний блок кассетный  + панель AFQ4-03B1</t>
  </si>
  <si>
    <t>Внутренний блок кассетный + панель AFQ4-02B1</t>
  </si>
  <si>
    <t>Напольные кондиционеры ОТЕХ (Гарантия: 24 месяца)</t>
  </si>
  <si>
    <t>Настенные кондиционеры  OTEX (Гарантия: 24 месяца)</t>
  </si>
  <si>
    <t>almacom GOLD (Гарантия: 36 месяцев)</t>
  </si>
  <si>
    <t>AMV-28С1</t>
  </si>
  <si>
    <t>AMV-22WMS</t>
  </si>
  <si>
    <t>AMV-28WMS</t>
  </si>
  <si>
    <t>AMV-36WMS</t>
  </si>
  <si>
    <t>AMV-45WMS</t>
  </si>
  <si>
    <t>Внутренний блок настенный, AC Fan on/off</t>
  </si>
  <si>
    <t>АMV-400Х6-I</t>
  </si>
  <si>
    <t>АMV-670Х6-I</t>
  </si>
  <si>
    <t>Индивидуальный инвертерный наружный блок, 24 HP</t>
  </si>
  <si>
    <t>67 kw</t>
  </si>
  <si>
    <t>CCM-18 A/N</t>
  </si>
  <si>
    <t>Modbus Шлюз системы управления зданием, с управлением до 64 внутр. Блоков</t>
  </si>
  <si>
    <t>WRC86</t>
  </si>
  <si>
    <t>DLM-DJZJ (ножки) в комплекте</t>
  </si>
  <si>
    <t>AFH2-150-R4</t>
  </si>
  <si>
    <t>Напольный, 2-х трубный, 4-х рядный, корпусный, не комплектуется пультом управления.</t>
  </si>
  <si>
    <t>Напольные 4-х рядные</t>
  </si>
  <si>
    <t>Напольные 3-х рядные</t>
  </si>
  <si>
    <t>Охл. 2,65 кВт</t>
  </si>
  <si>
    <t>Охл. 2,25 кВт</t>
  </si>
  <si>
    <t>ограниченно</t>
  </si>
  <si>
    <t>almacom Regular (Гарантия: 36 месяцев)</t>
  </si>
  <si>
    <t>ACH-09AR</t>
  </si>
  <si>
    <t>серия REGULAR</t>
  </si>
  <si>
    <t>AFH2-500-R4</t>
  </si>
  <si>
    <t>AFH2-700-R4</t>
  </si>
  <si>
    <t>AFH2-800-R4</t>
  </si>
  <si>
    <t>AMV-200D/M3</t>
  </si>
  <si>
    <t>20 kw</t>
  </si>
  <si>
    <t>Индивидуальный инвертерный наружный блок, - HP</t>
  </si>
  <si>
    <t>Термостат для канального фанкойла (дисплей)</t>
  </si>
  <si>
    <t>Термостат для напольного фанкойла (дисплей)</t>
  </si>
  <si>
    <t>ACH-12AR</t>
  </si>
  <si>
    <t>30-35 м3</t>
  </si>
  <si>
    <r>
      <t xml:space="preserve">Сплит-система; Класс A; авторестарт;  I-Feel; самоочистка; антиплесень; R410A; </t>
    </r>
    <r>
      <rPr>
        <b/>
        <u/>
        <sz val="10"/>
        <rFont val="Arial"/>
        <family val="2"/>
        <charset val="204"/>
      </rPr>
      <t>Без инсталляции</t>
    </r>
  </si>
  <si>
    <t>ACH-07AR</t>
  </si>
  <si>
    <t>ACH-24AR</t>
  </si>
  <si>
    <t>ACH-18I</t>
  </si>
  <si>
    <t>AM-12L</t>
  </si>
  <si>
    <t>almacom Inverter VIP (Гарантия: 36 месяцев)</t>
  </si>
  <si>
    <t>VIP</t>
  </si>
  <si>
    <t>ACH-13IV</t>
  </si>
  <si>
    <t>Инверторная сплит-система;  Класс А; cверхбесшумная  конструкция;  ионизатор; самоочистка; антиплесень; золотое напыление на  теплообменниках; глубокий сон; I-Feel; Turbo; ПДУ с подсветкой; R410A; медная инсталляция; wi-fi управление</t>
  </si>
  <si>
    <t>Сплит-система; авторестарт; Класс С,:Запуск при низком напряжении: энергосбережение: Бесшумность: Автоматическая очистка: Таймер: Быстрое охл нагрев; R410A; медная инсталляция;</t>
  </si>
  <si>
    <t>OWM-09RP</t>
  </si>
  <si>
    <t>OWM-12RP</t>
  </si>
  <si>
    <t>OWM-18RP</t>
  </si>
  <si>
    <t>AFA-1200F</t>
  </si>
  <si>
    <t>AFA1500F</t>
  </si>
  <si>
    <t>AFD-300A</t>
  </si>
  <si>
    <t>Напольные 4-х рядные, 4-х трубные</t>
  </si>
  <si>
    <t>AFH2-250F-R4</t>
  </si>
  <si>
    <t>AFH2-600F-R4</t>
  </si>
  <si>
    <t>AFH2-900F-R4</t>
  </si>
  <si>
    <t>AMV-V100MI mini</t>
  </si>
  <si>
    <t>Четырехпоточный кассетный, 4-трубный (Standart) + панель AFQ4-02C</t>
  </si>
  <si>
    <t>Охл. 7,32 кВт</t>
  </si>
  <si>
    <t>Охл. 8,86 кВт</t>
  </si>
  <si>
    <t>Напольный, воздухозаборник снизу, 4-рядный, 4-трубный</t>
  </si>
  <si>
    <t>в резерве</t>
  </si>
  <si>
    <t xml:space="preserve">Охл.2,5 кВт, </t>
  </si>
  <si>
    <t>Охл. 2,05 кВт</t>
  </si>
  <si>
    <t>Индивидуальный инвертерный наружный блок 380-415V ~50Hz/3ф</t>
  </si>
  <si>
    <t>DC Инверторный наружный блок, 220-240V ~50Hz/1ф,
 компактный дизайн</t>
  </si>
  <si>
    <t>OTEX  (2021)</t>
  </si>
  <si>
    <t>Охл.5,05 кВт</t>
  </si>
  <si>
    <t>Охл. 7,65 кВт</t>
  </si>
  <si>
    <t xml:space="preserve">21.06.2021г. </t>
  </si>
  <si>
    <t>AFH2-800F-R4</t>
  </si>
  <si>
    <t>AMV-V140MI mini</t>
  </si>
  <si>
    <t>DC Инверторный наружный блок, 
 компактный дизайн</t>
  </si>
  <si>
    <t xml:space="preserve">AMV-180D/M3 </t>
  </si>
  <si>
    <t>18 kw</t>
  </si>
  <si>
    <t xml:space="preserve">AMV-120D/M3 </t>
  </si>
  <si>
    <t>12 kw</t>
  </si>
  <si>
    <t>AMV140FAPUS</t>
  </si>
  <si>
    <t>AMV250FAPUS</t>
  </si>
  <si>
    <t>25 kw</t>
  </si>
  <si>
    <t>Внутренний блок канальный со 100% притоком воздуха</t>
  </si>
  <si>
    <t>ACH-18AR</t>
  </si>
  <si>
    <t>AMV-140D/M3</t>
  </si>
  <si>
    <t>OWM-12RS</t>
  </si>
  <si>
    <t>OWM-24RS</t>
  </si>
  <si>
    <t>по запросу</t>
  </si>
  <si>
    <t xml:space="preserve">                Республика Казахстан, г. 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</si>
</sst>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-* #,##0.00_р_._-;\-* #,##0.00_р_._-;_-* &quot;-&quot;??_р_._-;_-@_-"/>
    <numFmt numFmtId="180" formatCode="0.0"/>
  </numFmts>
  <fonts count="54"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9"/>
      <name val="Arial"/>
      <family val="2"/>
      <charset val="1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26"/>
      <name val="Arial Cyr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1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"/>
      <name val="Arial"/>
      <family val="2"/>
      <charset val="204"/>
    </font>
    <font>
      <b/>
      <sz val="12"/>
      <name val="Arial"/>
      <family val="2"/>
      <charset val="1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Times New Roman"/>
      <family val="1"/>
      <charset val="204"/>
    </font>
    <font>
      <sz val="10"/>
      <name val="Helv"/>
      <family val="2"/>
    </font>
    <font>
      <sz val="10"/>
      <name val="Arial Cyr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7"/>
      <name val="Arial"/>
      <family val="2"/>
      <charset val="1"/>
    </font>
    <font>
      <sz val="12"/>
      <name val="宋体"/>
      <family val="3"/>
      <charset val="134"/>
    </font>
    <font>
      <b/>
      <i/>
      <sz val="11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1"/>
    </font>
    <font>
      <b/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color theme="1"/>
      <name val="Arial"/>
      <family val="2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theme="0"/>
      <name val="Arial"/>
      <family val="2"/>
      <charset val="1"/>
    </font>
    <font>
      <b/>
      <sz val="10.5"/>
      <color theme="0"/>
      <name val="Arial"/>
      <family val="2"/>
      <charset val="204"/>
    </font>
    <font>
      <b/>
      <sz val="10.5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43" fillId="0" borderId="0"/>
    <xf numFmtId="0" fontId="43" fillId="0" borderId="0"/>
    <xf numFmtId="0" fontId="32" fillId="0" borderId="0"/>
    <xf numFmtId="179" fontId="38" fillId="0" borderId="0"/>
    <xf numFmtId="0" fontId="31" fillId="0" borderId="0"/>
    <xf numFmtId="0" fontId="31" fillId="0" borderId="0"/>
  </cellStyleXfs>
  <cellXfs count="458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3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/>
    <xf numFmtId="0" fontId="4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1" fillId="5" borderId="0" xfId="0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3" fontId="35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Border="1" applyAlignment="1" applyProtection="1">
      <alignment horizontal="center" vertical="center" wrapText="1"/>
      <protection locked="0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3" fontId="36" fillId="0" borderId="1" xfId="0" applyNumberFormat="1" applyFont="1" applyBorder="1" applyAlignment="1" applyProtection="1">
      <alignment horizontal="center" vertical="center" wrapText="1"/>
      <protection locked="0"/>
    </xf>
    <xf numFmtId="3" fontId="2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3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3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5" xfId="0" applyFont="1" applyFill="1" applyBorder="1" applyAlignment="1" applyProtection="1">
      <alignment vertical="center" wrapText="1"/>
      <protection locked="0"/>
    </xf>
    <xf numFmtId="0" fontId="20" fillId="5" borderId="6" xfId="0" applyFont="1" applyFill="1" applyBorder="1" applyAlignment="1" applyProtection="1">
      <alignment vertical="center" wrapText="1"/>
      <protection locked="0"/>
    </xf>
    <xf numFmtId="0" fontId="20" fillId="5" borderId="0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49" fillId="6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3" fontId="36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3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Continuous" vertical="top"/>
    </xf>
    <xf numFmtId="0" fontId="7" fillId="4" borderId="1" xfId="0" applyFont="1" applyFill="1" applyBorder="1" applyAlignment="1">
      <alignment horizontal="centerContinuous" vertical="top"/>
    </xf>
    <xf numFmtId="0" fontId="7" fillId="4" borderId="1" xfId="0" applyFont="1" applyFill="1" applyBorder="1" applyAlignment="1">
      <alignment horizontal="centerContinuous" vertical="top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vertical="center" wrapText="1"/>
      <protection locked="0"/>
    </xf>
    <xf numFmtId="1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1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top"/>
    </xf>
    <xf numFmtId="0" fontId="13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13" fillId="0" borderId="15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Continuous" vertical="top"/>
    </xf>
    <xf numFmtId="3" fontId="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3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8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8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13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3" fontId="28" fillId="4" borderId="15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3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14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vertical="center" wrapText="1"/>
      <protection locked="0"/>
    </xf>
    <xf numFmtId="1" fontId="41" fillId="0" borderId="0" xfId="0" applyNumberFormat="1" applyFont="1" applyBorder="1" applyAlignment="1" applyProtection="1">
      <alignment horizontal="left" vertical="center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6" borderId="9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3" fontId="28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15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3" fontId="2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14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28" fillId="4" borderId="18" xfId="0" applyFont="1" applyFill="1" applyBorder="1" applyAlignment="1" applyProtection="1">
      <alignment horizontal="center" vertical="center" wrapText="1"/>
      <protection locked="0"/>
    </xf>
    <xf numFmtId="3" fontId="28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left" vertical="center" wrapText="1"/>
      <protection locked="0"/>
    </xf>
    <xf numFmtId="0" fontId="15" fillId="4" borderId="18" xfId="0" applyFont="1" applyFill="1" applyBorder="1" applyAlignment="1" applyProtection="1">
      <alignment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14" fontId="28" fillId="0" borderId="11" xfId="0" applyNumberFormat="1" applyFont="1" applyFill="1" applyBorder="1" applyAlignment="1" applyProtection="1">
      <alignment horizontal="left" vertical="center"/>
      <protection locked="0"/>
    </xf>
    <xf numFmtId="14" fontId="2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>
      <alignment horizontal="left"/>
    </xf>
    <xf numFmtId="0" fontId="7" fillId="7" borderId="22" xfId="0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14" fontId="0" fillId="0" borderId="17" xfId="0" applyNumberFormat="1" applyFont="1" applyBorder="1" applyAlignment="1" applyProtection="1">
      <alignment horizontal="left" vertical="center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14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14" fontId="28" fillId="0" borderId="21" xfId="0" applyNumberFormat="1" applyFont="1" applyFill="1" applyBorder="1" applyAlignment="1" applyProtection="1">
      <alignment horizontal="left" vertical="center" wrapText="1"/>
      <protection locked="0"/>
    </xf>
    <xf numFmtId="14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28" fillId="0" borderId="23" xfId="0" applyNumberFormat="1" applyFont="1" applyFill="1" applyBorder="1" applyAlignment="1" applyProtection="1">
      <alignment horizontal="left" vertical="center" wrapText="1"/>
      <protection locked="0"/>
    </xf>
    <xf numFmtId="14" fontId="28" fillId="0" borderId="17" xfId="0" applyNumberFormat="1" applyFont="1" applyFill="1" applyBorder="1" applyAlignment="1" applyProtection="1">
      <alignment horizontal="left" vertical="center"/>
      <protection locked="0"/>
    </xf>
    <xf numFmtId="14" fontId="28" fillId="0" borderId="11" xfId="0" applyNumberFormat="1" applyFont="1" applyFill="1" applyBorder="1" applyAlignment="1" applyProtection="1">
      <alignment horizontal="left" vertical="center" shrinkToFit="1"/>
      <protection locked="0"/>
    </xf>
    <xf numFmtId="16" fontId="28" fillId="0" borderId="21" xfId="0" applyNumberFormat="1" applyFont="1" applyFill="1" applyBorder="1" applyAlignment="1" applyProtection="1">
      <alignment horizontal="left" vertical="center" wrapText="1"/>
      <protection locked="0"/>
    </xf>
    <xf numFmtId="16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16" fontId="2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28" fillId="4" borderId="22" xfId="0" applyFont="1" applyFill="1" applyBorder="1" applyAlignment="1" applyProtection="1">
      <alignment horizontal="left" vertical="center" wrapText="1"/>
      <protection locked="0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1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shrinkToFit="1"/>
      <protection locked="0"/>
    </xf>
    <xf numFmtId="0" fontId="28" fillId="4" borderId="21" xfId="0" applyFont="1" applyFill="1" applyBorder="1" applyAlignment="1" applyProtection="1">
      <alignment horizontal="left" vertical="center" wrapText="1"/>
      <protection locked="0"/>
    </xf>
    <xf numFmtId="0" fontId="2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28" fillId="6" borderId="9" xfId="0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0" fillId="5" borderId="25" xfId="0" applyFont="1" applyFill="1" applyBorder="1" applyAlignment="1" applyProtection="1">
      <alignment horizontal="center" vertical="center" wrapText="1"/>
      <protection locked="0"/>
    </xf>
    <xf numFmtId="0" fontId="20" fillId="5" borderId="5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48" fillId="0" borderId="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0" fillId="5" borderId="28" xfId="0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29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 wrapText="1"/>
      <protection locked="0"/>
    </xf>
    <xf numFmtId="0" fontId="21" fillId="5" borderId="6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7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16" fillId="8" borderId="35" xfId="0" applyFont="1" applyFill="1" applyBorder="1" applyAlignment="1" applyProtection="1">
      <alignment horizontal="center" vertical="center" wrapText="1"/>
      <protection locked="0"/>
    </xf>
    <xf numFmtId="0" fontId="16" fillId="8" borderId="19" xfId="0" applyFont="1" applyFill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39" fillId="9" borderId="20" xfId="0" applyFont="1" applyFill="1" applyBorder="1" applyAlignment="1" applyProtection="1">
      <alignment horizontal="center" vertical="center"/>
      <protection locked="0"/>
    </xf>
    <xf numFmtId="0" fontId="39" fillId="9" borderId="18" xfId="0" applyFont="1" applyFill="1" applyBorder="1" applyAlignment="1" applyProtection="1">
      <alignment horizontal="center" vertical="center"/>
      <protection locked="0"/>
    </xf>
    <xf numFmtId="0" fontId="39" fillId="9" borderId="2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textRotation="90" shrinkToFit="1"/>
      <protection locked="0"/>
    </xf>
    <xf numFmtId="0" fontId="8" fillId="0" borderId="7" xfId="0" applyFont="1" applyFill="1" applyBorder="1" applyAlignment="1" applyProtection="1">
      <alignment horizontal="center" textRotation="90" shrinkToFit="1"/>
      <protection locked="0"/>
    </xf>
    <xf numFmtId="0" fontId="8" fillId="0" borderId="30" xfId="0" applyFont="1" applyFill="1" applyBorder="1" applyAlignment="1" applyProtection="1">
      <alignment horizontal="center" textRotation="90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8" borderId="20" xfId="0" applyFont="1" applyFill="1" applyBorder="1" applyAlignment="1" applyProtection="1">
      <alignment horizontal="center" vertical="center" wrapText="1"/>
      <protection locked="0"/>
    </xf>
    <xf numFmtId="0" fontId="16" fillId="8" borderId="18" xfId="0" applyFont="1" applyFill="1" applyBorder="1" applyAlignment="1" applyProtection="1">
      <alignment horizontal="center" vertical="center" wrapText="1"/>
      <protection locked="0"/>
    </xf>
    <xf numFmtId="0" fontId="16" fillId="8" borderId="22" xfId="0" applyFont="1" applyFill="1" applyBorder="1" applyAlignment="1" applyProtection="1">
      <alignment horizontal="center" vertical="center" wrapText="1"/>
      <protection locked="0"/>
    </xf>
    <xf numFmtId="0" fontId="16" fillId="8" borderId="39" xfId="0" applyFont="1" applyFill="1" applyBorder="1" applyAlignment="1" applyProtection="1">
      <alignment horizontal="center" vertical="center" wrapText="1"/>
      <protection locked="0"/>
    </xf>
    <xf numFmtId="0" fontId="16" fillId="8" borderId="32" xfId="0" applyFont="1" applyFill="1" applyBorder="1" applyAlignment="1" applyProtection="1">
      <alignment horizontal="center" vertical="center" wrapText="1"/>
      <protection locked="0"/>
    </xf>
    <xf numFmtId="0" fontId="16" fillId="8" borderId="40" xfId="0" applyFont="1" applyFill="1" applyBorder="1" applyAlignment="1" applyProtection="1">
      <alignment horizontal="center" vertical="center" wrapText="1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28" fillId="6" borderId="9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6" fillId="8" borderId="33" xfId="0" applyFont="1" applyFill="1" applyBorder="1" applyAlignment="1" applyProtection="1">
      <alignment horizontal="center" vertical="center" wrapText="1"/>
      <protection locked="0"/>
    </xf>
    <xf numFmtId="0" fontId="16" fillId="8" borderId="0" xfId="0" applyFont="1" applyFill="1" applyBorder="1" applyAlignment="1" applyProtection="1">
      <alignment horizontal="center" vertical="center" wrapText="1"/>
      <protection locked="0"/>
    </xf>
    <xf numFmtId="0" fontId="16" fillId="8" borderId="34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7" fillId="7" borderId="20" xfId="0" applyFont="1" applyFill="1" applyBorder="1" applyAlignment="1" applyProtection="1">
      <alignment horizontal="center" vertical="center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6" fillId="8" borderId="38" xfId="0" applyFont="1" applyFill="1" applyBorder="1" applyAlignment="1" applyProtection="1">
      <alignment horizontal="center" vertical="center" wrapText="1"/>
      <protection locked="0"/>
    </xf>
    <xf numFmtId="0" fontId="16" fillId="8" borderId="4" xfId="0" applyFont="1" applyFill="1" applyBorder="1" applyAlignment="1" applyProtection="1">
      <alignment horizontal="center" vertical="center" wrapText="1"/>
      <protection locked="0"/>
    </xf>
    <xf numFmtId="0" fontId="16" fillId="8" borderId="2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0" borderId="7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0" borderId="8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37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8" fillId="0" borderId="1" xfId="8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33" fillId="0" borderId="1" xfId="8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2" borderId="31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15" xfId="0" applyFont="1" applyFill="1" applyBorder="1" applyAlignment="1" applyProtection="1">
      <alignment vertical="center" wrapText="1"/>
      <protection locked="0"/>
    </xf>
    <xf numFmtId="0" fontId="28" fillId="6" borderId="3" xfId="0" applyFont="1" applyFill="1" applyBorder="1" applyAlignment="1" applyProtection="1">
      <alignment horizontal="center" vertical="center" wrapText="1"/>
      <protection locked="0"/>
    </xf>
    <xf numFmtId="3" fontId="2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28" fillId="6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3" fontId="28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14" fontId="11" fillId="0" borderId="16" xfId="0" applyNumberFormat="1" applyFont="1" applyBorder="1" applyAlignment="1" applyProtection="1">
      <alignment horizontal="left" vertical="center" wrapText="1"/>
      <protection locked="0"/>
    </xf>
    <xf numFmtId="0" fontId="27" fillId="9" borderId="20" xfId="0" applyFont="1" applyFill="1" applyBorder="1" applyAlignment="1" applyProtection="1">
      <alignment horizontal="center" vertical="center"/>
      <protection locked="0"/>
    </xf>
    <xf numFmtId="0" fontId="27" fillId="9" borderId="18" xfId="0" applyFont="1" applyFill="1" applyBorder="1" applyAlignment="1" applyProtection="1">
      <alignment horizontal="center" vertical="center"/>
      <protection locked="0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0" borderId="38" xfId="0" applyFont="1" applyFill="1" applyBorder="1" applyAlignment="1" applyProtection="1">
      <alignment horizontal="center" vertical="center" textRotation="90" wrapText="1" shrinkToFi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1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0" xfId="0" applyNumberFormat="1" applyFont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Fill="1" applyBorder="1" applyAlignment="1" applyProtection="1">
      <alignment horizontal="left" vertical="center"/>
      <protection locked="0"/>
    </xf>
  </cellXfs>
  <cellStyles count="9">
    <cellStyle name="Гиперссылка" xfId="1" builtinId="8"/>
    <cellStyle name="Обычный" xfId="0" builtinId="0"/>
    <cellStyle name="Обычный 105" xfId="2"/>
    <cellStyle name="Обычный 13" xfId="3"/>
    <cellStyle name="Обычный 13 2" xfId="4"/>
    <cellStyle name="Обычный 2" xfId="5"/>
    <cellStyle name="常规 4 8 4" xfId="6"/>
    <cellStyle name="常规_09 Quotation sheet for Unicomp" xfId="7"/>
    <cellStyle name="常规_PI2009000006002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914400</xdr:colOff>
      <xdr:row>2</xdr:row>
      <xdr:rowOff>123825</xdr:rowOff>
    </xdr:to>
    <xdr:pic>
      <xdr:nvPicPr>
        <xdr:cNvPr id="2764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914400</xdr:colOff>
      <xdr:row>2</xdr:row>
      <xdr:rowOff>123825</xdr:rowOff>
    </xdr:to>
    <xdr:pic>
      <xdr:nvPicPr>
        <xdr:cNvPr id="3788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495300</xdr:colOff>
      <xdr:row>2</xdr:row>
      <xdr:rowOff>66675</xdr:rowOff>
    </xdr:to>
    <xdr:pic>
      <xdr:nvPicPr>
        <xdr:cNvPr id="8599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71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495300</xdr:colOff>
      <xdr:row>2</xdr:row>
      <xdr:rowOff>161925</xdr:rowOff>
    </xdr:to>
    <xdr:pic>
      <xdr:nvPicPr>
        <xdr:cNvPr id="8600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71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638175</xdr:colOff>
      <xdr:row>4</xdr:row>
      <xdr:rowOff>0</xdr:rowOff>
    </xdr:to>
    <xdr:pic>
      <xdr:nvPicPr>
        <xdr:cNvPr id="583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macom.info%20%20E-mail:almacom@inbox,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macom.info%20%20E-mail:almacom@inbox,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lmacom.info%20%20E-mail:almacom@inbox,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5"/>
  <sheetViews>
    <sheetView view="pageBreakPreview" topLeftCell="A55" zoomScaleSheetLayoutView="100" zoomScalePageLayoutView="90" workbookViewId="0">
      <selection activeCell="F62" sqref="F62"/>
    </sheetView>
  </sheetViews>
  <sheetFormatPr defaultColWidth="9.28515625" defaultRowHeight="12.75"/>
  <cols>
    <col min="1" max="1" width="3.5703125" style="3" customWidth="1"/>
    <col min="2" max="2" width="30.5703125" style="3" customWidth="1"/>
    <col min="3" max="3" width="59.28515625" style="3" customWidth="1"/>
    <col min="4" max="4" width="12.28515625" style="9" customWidth="1"/>
    <col min="5" max="5" width="15.42578125" style="3" customWidth="1"/>
    <col min="6" max="6" width="21.7109375" style="3" customWidth="1"/>
    <col min="7" max="7" width="13.5703125" style="28" customWidth="1"/>
    <col min="8" max="8" width="13.5703125" style="28" hidden="1" customWidth="1"/>
    <col min="9" max="9" width="15" style="3" hidden="1" customWidth="1"/>
    <col min="10" max="10" width="9.28515625" style="3" hidden="1" customWidth="1"/>
    <col min="11" max="11" width="10" style="3" customWidth="1"/>
    <col min="12" max="16384" width="9.28515625" style="3"/>
  </cols>
  <sheetData>
    <row r="1" spans="1:10" ht="42" customHeight="1">
      <c r="A1" s="300" t="s">
        <v>6</v>
      </c>
      <c r="B1" s="300"/>
      <c r="C1" s="300"/>
      <c r="D1" s="300"/>
      <c r="E1" s="300"/>
      <c r="F1" s="300"/>
      <c r="G1" s="71">
        <v>42388</v>
      </c>
      <c r="H1" s="26"/>
      <c r="I1" s="12"/>
      <c r="J1" s="12"/>
    </row>
    <row r="2" spans="1:10" ht="15.75">
      <c r="B2" s="14"/>
      <c r="C2" s="14" t="s">
        <v>11</v>
      </c>
      <c r="D2" s="10"/>
      <c r="E2" s="14"/>
      <c r="F2" s="14"/>
      <c r="G2" s="86">
        <v>310</v>
      </c>
      <c r="H2" s="24"/>
      <c r="I2" s="14"/>
      <c r="J2" s="14"/>
    </row>
    <row r="3" spans="1:10" ht="15.75">
      <c r="B3" s="13"/>
      <c r="C3" s="13" t="s">
        <v>84</v>
      </c>
      <c r="D3" s="10"/>
      <c r="E3" s="13"/>
      <c r="F3" s="13"/>
      <c r="G3" s="24"/>
      <c r="H3" s="24"/>
      <c r="I3" s="13"/>
      <c r="J3" s="13"/>
    </row>
    <row r="4" spans="1:10" ht="18.75">
      <c r="B4" s="8" t="s">
        <v>60</v>
      </c>
      <c r="C4" s="7"/>
      <c r="D4" s="301" t="s">
        <v>32</v>
      </c>
      <c r="E4" s="301"/>
      <c r="F4" s="301"/>
      <c r="G4" s="27"/>
      <c r="H4" s="27"/>
      <c r="I4" s="6"/>
      <c r="J4" s="5"/>
    </row>
    <row r="5" spans="1:10" ht="27" customHeight="1">
      <c r="A5" s="302" t="s">
        <v>2</v>
      </c>
      <c r="B5" s="302"/>
      <c r="C5" s="15" t="s">
        <v>0</v>
      </c>
      <c r="D5" s="15" t="s">
        <v>5</v>
      </c>
      <c r="E5" s="15" t="s">
        <v>18</v>
      </c>
      <c r="F5" s="15" t="s">
        <v>19</v>
      </c>
      <c r="G5" s="23" t="s">
        <v>106</v>
      </c>
      <c r="H5" s="45"/>
    </row>
    <row r="6" spans="1:10" ht="31.5" customHeight="1">
      <c r="A6" s="266" t="s">
        <v>34</v>
      </c>
      <c r="B6" s="267"/>
      <c r="C6" s="267"/>
      <c r="D6" s="267"/>
      <c r="E6" s="267"/>
      <c r="F6" s="267"/>
      <c r="G6" s="267"/>
      <c r="H6" s="267"/>
      <c r="I6" s="267"/>
      <c r="J6" s="268"/>
    </row>
    <row r="7" spans="1:10" ht="93" customHeight="1">
      <c r="A7" s="303" t="s">
        <v>204</v>
      </c>
      <c r="B7" s="304"/>
      <c r="C7" s="78" t="s">
        <v>208</v>
      </c>
      <c r="D7" s="79" t="s">
        <v>1</v>
      </c>
      <c r="E7" s="80">
        <f>F7/0.8</f>
        <v>9571.25</v>
      </c>
      <c r="F7" s="85">
        <f>24.7*G2</f>
        <v>7657</v>
      </c>
      <c r="G7" s="72"/>
      <c r="H7" s="19">
        <v>4600</v>
      </c>
      <c r="I7" s="42">
        <f>H7/186</f>
        <v>24.731182795698924</v>
      </c>
      <c r="J7" s="3">
        <f>I7*256</f>
        <v>6331.1827956989246</v>
      </c>
    </row>
    <row r="8" spans="1:10" ht="93" customHeight="1">
      <c r="A8" s="303" t="s">
        <v>205</v>
      </c>
      <c r="B8" s="304"/>
      <c r="C8" s="78" t="s">
        <v>209</v>
      </c>
      <c r="D8" s="79" t="s">
        <v>1</v>
      </c>
      <c r="E8" s="17">
        <f>F8/0.8</f>
        <v>17584.75</v>
      </c>
      <c r="F8" s="85">
        <f>45.38*G2</f>
        <v>14067.800000000001</v>
      </c>
      <c r="G8" s="16"/>
      <c r="H8" s="65"/>
      <c r="I8" s="42"/>
    </row>
    <row r="9" spans="1:10" ht="27.75" customHeight="1">
      <c r="A9" s="266" t="s">
        <v>94</v>
      </c>
      <c r="B9" s="267"/>
      <c r="C9" s="267"/>
      <c r="D9" s="267"/>
      <c r="E9" s="267"/>
      <c r="F9" s="267"/>
      <c r="G9" s="268"/>
      <c r="H9" s="46"/>
      <c r="I9" s="42"/>
      <c r="J9" s="3">
        <f t="shared" ref="J9:J96" si="0">I9*256</f>
        <v>0</v>
      </c>
    </row>
    <row r="10" spans="1:10" ht="96" customHeight="1">
      <c r="A10" s="305" t="s">
        <v>96</v>
      </c>
      <c r="B10" s="306"/>
      <c r="C10" s="1" t="s">
        <v>101</v>
      </c>
      <c r="D10" s="2" t="s">
        <v>1</v>
      </c>
      <c r="E10" s="17">
        <f>F10/0.8</f>
        <v>58125</v>
      </c>
      <c r="F10" s="19">
        <f>150*G2</f>
        <v>46500</v>
      </c>
      <c r="G10" s="16"/>
      <c r="H10" s="19">
        <v>27900</v>
      </c>
      <c r="I10" s="42">
        <f>H10/186</f>
        <v>150</v>
      </c>
      <c r="J10" s="3">
        <f>I10*256</f>
        <v>38400</v>
      </c>
    </row>
    <row r="11" spans="1:10" ht="27.75" customHeight="1">
      <c r="A11" s="266" t="s">
        <v>95</v>
      </c>
      <c r="B11" s="267"/>
      <c r="C11" s="267"/>
      <c r="D11" s="267"/>
      <c r="E11" s="267"/>
      <c r="F11" s="267"/>
      <c r="G11" s="268"/>
      <c r="H11" s="46"/>
      <c r="I11" s="42">
        <f t="shared" ref="I11:I98" si="1">H11/186</f>
        <v>0</v>
      </c>
      <c r="J11" s="3">
        <f t="shared" si="0"/>
        <v>0</v>
      </c>
    </row>
    <row r="12" spans="1:10" ht="84">
      <c r="A12" s="272" t="s">
        <v>97</v>
      </c>
      <c r="B12" s="289"/>
      <c r="C12" s="1" t="s">
        <v>102</v>
      </c>
      <c r="D12" s="2" t="s">
        <v>1</v>
      </c>
      <c r="E12" s="17">
        <f>F12/0.8</f>
        <v>80212.5</v>
      </c>
      <c r="F12" s="19">
        <f>207*G2</f>
        <v>64170</v>
      </c>
      <c r="G12" s="16"/>
      <c r="H12" s="19">
        <v>38500</v>
      </c>
      <c r="I12" s="42">
        <f>H12/186</f>
        <v>206.98924731182797</v>
      </c>
      <c r="J12" s="3">
        <f t="shared" si="0"/>
        <v>52989.247311827959</v>
      </c>
    </row>
    <row r="13" spans="1:10" ht="84">
      <c r="A13" s="272" t="s">
        <v>98</v>
      </c>
      <c r="B13" s="289"/>
      <c r="C13" s="1" t="s">
        <v>103</v>
      </c>
      <c r="D13" s="2" t="s">
        <v>1</v>
      </c>
      <c r="E13" s="17">
        <f>F13/0.8</f>
        <v>89163.75</v>
      </c>
      <c r="F13" s="19">
        <f>230.1*G2</f>
        <v>71331</v>
      </c>
      <c r="G13" s="16"/>
      <c r="H13" s="19">
        <v>42800</v>
      </c>
      <c r="I13" s="42">
        <f>H13/186</f>
        <v>230.10752688172042</v>
      </c>
      <c r="J13" s="3">
        <f t="shared" si="0"/>
        <v>58907.526881720427</v>
      </c>
    </row>
    <row r="14" spans="1:10" ht="84">
      <c r="A14" s="272" t="s">
        <v>99</v>
      </c>
      <c r="B14" s="289"/>
      <c r="C14" s="1" t="s">
        <v>104</v>
      </c>
      <c r="D14" s="2" t="s">
        <v>1</v>
      </c>
      <c r="E14" s="17">
        <f>F14/0.8</f>
        <v>95208.75</v>
      </c>
      <c r="F14" s="19">
        <f>245.7*G2</f>
        <v>76167</v>
      </c>
      <c r="G14" s="16"/>
      <c r="H14" s="19">
        <v>45700</v>
      </c>
      <c r="I14" s="42">
        <f>H14/186</f>
        <v>245.69892473118279</v>
      </c>
      <c r="J14" s="3">
        <f t="shared" si="0"/>
        <v>62898.924731182793</v>
      </c>
    </row>
    <row r="15" spans="1:10" ht="84">
      <c r="A15" s="272" t="s">
        <v>100</v>
      </c>
      <c r="B15" s="289"/>
      <c r="C15" s="1" t="s">
        <v>105</v>
      </c>
      <c r="D15" s="2" t="s">
        <v>1</v>
      </c>
      <c r="E15" s="17">
        <f>F15/0.8</f>
        <v>98347.5</v>
      </c>
      <c r="F15" s="19">
        <f>253.8*G2</f>
        <v>78678</v>
      </c>
      <c r="G15" s="16"/>
      <c r="H15" s="19">
        <v>47200</v>
      </c>
      <c r="I15" s="42">
        <f t="shared" si="1"/>
        <v>253.76344086021504</v>
      </c>
      <c r="J15" s="3">
        <f t="shared" si="0"/>
        <v>64963.440860215051</v>
      </c>
    </row>
    <row r="16" spans="1:10" ht="27.75" customHeight="1">
      <c r="A16" s="266" t="s">
        <v>36</v>
      </c>
      <c r="B16" s="267"/>
      <c r="C16" s="267"/>
      <c r="D16" s="267"/>
      <c r="E16" s="267"/>
      <c r="F16" s="267"/>
      <c r="G16" s="268"/>
      <c r="H16" s="46"/>
      <c r="I16" s="42">
        <f t="shared" si="1"/>
        <v>0</v>
      </c>
      <c r="J16" s="3">
        <f t="shared" si="0"/>
        <v>0</v>
      </c>
    </row>
    <row r="17" spans="1:10" ht="60">
      <c r="A17" s="272" t="s">
        <v>121</v>
      </c>
      <c r="B17" s="273"/>
      <c r="C17" s="1" t="s">
        <v>122</v>
      </c>
      <c r="D17" s="2" t="s">
        <v>1</v>
      </c>
      <c r="E17" s="17">
        <f t="shared" ref="E17:E39" si="2">F17/0.8</f>
        <v>49987.5</v>
      </c>
      <c r="F17" s="61">
        <f>129*G2</f>
        <v>39990</v>
      </c>
      <c r="G17" s="16"/>
      <c r="H17" s="19">
        <v>24000</v>
      </c>
      <c r="I17" s="42">
        <f t="shared" si="1"/>
        <v>129.03225806451613</v>
      </c>
      <c r="J17" s="3">
        <f t="shared" si="0"/>
        <v>33032.258064516129</v>
      </c>
    </row>
    <row r="18" spans="1:10" ht="60">
      <c r="A18" s="272" t="s">
        <v>125</v>
      </c>
      <c r="B18" s="273"/>
      <c r="C18" s="1" t="s">
        <v>132</v>
      </c>
      <c r="D18" s="2" t="s">
        <v>1</v>
      </c>
      <c r="E18" s="17">
        <f t="shared" si="2"/>
        <v>49987.5</v>
      </c>
      <c r="F18" s="61">
        <f>129*G2</f>
        <v>39990</v>
      </c>
      <c r="G18" s="16"/>
      <c r="H18" s="19"/>
      <c r="I18" s="42"/>
    </row>
    <row r="19" spans="1:10" ht="60">
      <c r="A19" s="272" t="s">
        <v>87</v>
      </c>
      <c r="B19" s="273"/>
      <c r="C19" s="1" t="s">
        <v>93</v>
      </c>
      <c r="D19" s="2" t="s">
        <v>1</v>
      </c>
      <c r="E19" s="17">
        <f t="shared" si="2"/>
        <v>49987.5</v>
      </c>
      <c r="F19" s="61">
        <f>129*G2</f>
        <v>39990</v>
      </c>
      <c r="G19" s="16"/>
      <c r="H19" s="19">
        <v>24000</v>
      </c>
      <c r="I19" s="42">
        <f t="shared" si="1"/>
        <v>129.03225806451613</v>
      </c>
      <c r="J19" s="3">
        <f t="shared" si="0"/>
        <v>33032.258064516129</v>
      </c>
    </row>
    <row r="20" spans="1:10" ht="75">
      <c r="A20" s="272" t="s">
        <v>88</v>
      </c>
      <c r="B20" s="273"/>
      <c r="C20" s="57" t="s">
        <v>107</v>
      </c>
      <c r="D20" s="2" t="s">
        <v>1</v>
      </c>
      <c r="E20" s="17">
        <f t="shared" si="2"/>
        <v>49987.5</v>
      </c>
      <c r="F20" s="61">
        <f>129*G2</f>
        <v>39990</v>
      </c>
      <c r="G20" s="16"/>
      <c r="H20" s="19">
        <v>24000</v>
      </c>
      <c r="I20" s="42">
        <f t="shared" si="1"/>
        <v>129.03225806451613</v>
      </c>
      <c r="J20" s="3">
        <f t="shared" si="0"/>
        <v>33032.258064516129</v>
      </c>
    </row>
    <row r="21" spans="1:10" ht="48">
      <c r="A21" s="272" t="s">
        <v>215</v>
      </c>
      <c r="B21" s="273"/>
      <c r="C21" s="1" t="s">
        <v>217</v>
      </c>
      <c r="D21" s="2" t="s">
        <v>1</v>
      </c>
      <c r="E21" s="17">
        <f t="shared" si="2"/>
        <v>48103.474999999999</v>
      </c>
      <c r="F21" s="61">
        <f>124.138*G2</f>
        <v>38482.78</v>
      </c>
      <c r="G21" s="16"/>
      <c r="H21" s="19"/>
      <c r="I21" s="42"/>
    </row>
    <row r="22" spans="1:10" ht="48">
      <c r="A22" s="272" t="s">
        <v>216</v>
      </c>
      <c r="B22" s="273"/>
      <c r="C22" s="1" t="s">
        <v>218</v>
      </c>
      <c r="D22" s="2" t="s">
        <v>1</v>
      </c>
      <c r="E22" s="17">
        <f t="shared" si="2"/>
        <v>48771.525000000001</v>
      </c>
      <c r="F22" s="61">
        <f>125.862*G2</f>
        <v>39017.22</v>
      </c>
      <c r="G22" s="16"/>
      <c r="H22" s="19"/>
      <c r="I22" s="42"/>
    </row>
    <row r="23" spans="1:10" ht="42" customHeight="1">
      <c r="A23" s="272" t="s">
        <v>10</v>
      </c>
      <c r="B23" s="273"/>
      <c r="C23" s="1" t="s">
        <v>55</v>
      </c>
      <c r="D23" s="2" t="s">
        <v>1</v>
      </c>
      <c r="E23" s="17">
        <f t="shared" si="2"/>
        <v>40532.5</v>
      </c>
      <c r="F23" s="61">
        <f>104.6*G2</f>
        <v>32426</v>
      </c>
      <c r="G23" s="16"/>
      <c r="H23" s="19">
        <v>19449.05</v>
      </c>
      <c r="I23" s="42">
        <f t="shared" si="1"/>
        <v>104.56478494623656</v>
      </c>
      <c r="J23" s="3">
        <f t="shared" si="0"/>
        <v>26768.584946236559</v>
      </c>
    </row>
    <row r="24" spans="1:10" ht="42" customHeight="1">
      <c r="A24" s="272" t="s">
        <v>210</v>
      </c>
      <c r="B24" s="289"/>
      <c r="C24" s="1" t="s">
        <v>55</v>
      </c>
      <c r="D24" s="2" t="s">
        <v>1</v>
      </c>
      <c r="E24" s="17">
        <f t="shared" si="2"/>
        <v>40487.162499999999</v>
      </c>
      <c r="F24" s="61">
        <f>104.483*G2</f>
        <v>32389.73</v>
      </c>
      <c r="G24" s="16"/>
      <c r="H24" s="19"/>
      <c r="I24" s="42"/>
    </row>
    <row r="25" spans="1:10" ht="42" customHeight="1">
      <c r="A25" s="272" t="s">
        <v>211</v>
      </c>
      <c r="B25" s="289"/>
      <c r="C25" s="1" t="s">
        <v>55</v>
      </c>
      <c r="D25" s="2" t="s">
        <v>1</v>
      </c>
      <c r="E25" s="17">
        <f t="shared" si="2"/>
        <v>40888.224999999999</v>
      </c>
      <c r="F25" s="61">
        <f>105.518*G2</f>
        <v>32710.58</v>
      </c>
      <c r="G25" s="16"/>
      <c r="H25" s="19"/>
      <c r="I25" s="42"/>
    </row>
    <row r="26" spans="1:10" ht="42" customHeight="1">
      <c r="A26" s="272" t="s">
        <v>212</v>
      </c>
      <c r="B26" s="289"/>
      <c r="C26" s="1" t="s">
        <v>55</v>
      </c>
      <c r="D26" s="2" t="s">
        <v>1</v>
      </c>
      <c r="E26" s="17">
        <f t="shared" si="2"/>
        <v>40888.224999999999</v>
      </c>
      <c r="F26" s="61">
        <f>105.518*G2</f>
        <v>32710.58</v>
      </c>
      <c r="G26" s="16"/>
      <c r="H26" s="19"/>
      <c r="I26" s="42"/>
    </row>
    <row r="27" spans="1:10" ht="42" customHeight="1">
      <c r="A27" s="272" t="s">
        <v>213</v>
      </c>
      <c r="B27" s="273"/>
      <c r="C27" s="1" t="s">
        <v>214</v>
      </c>
      <c r="D27" s="2" t="s">
        <v>1</v>
      </c>
      <c r="E27" s="17">
        <f t="shared" si="2"/>
        <v>57456.950000000004</v>
      </c>
      <c r="F27" s="61">
        <f>148.276*G2</f>
        <v>45965.560000000005</v>
      </c>
      <c r="G27" s="16"/>
      <c r="H27" s="19"/>
      <c r="I27" s="42"/>
    </row>
    <row r="28" spans="1:10" ht="33" customHeight="1">
      <c r="A28" s="272" t="s">
        <v>54</v>
      </c>
      <c r="B28" s="289"/>
      <c r="C28" s="1" t="s">
        <v>109</v>
      </c>
      <c r="D28" s="2" t="s">
        <v>1</v>
      </c>
      <c r="E28" s="17">
        <f t="shared" si="2"/>
        <v>25187.5</v>
      </c>
      <c r="F28" s="61">
        <f>65*G2</f>
        <v>20150</v>
      </c>
      <c r="G28" s="16"/>
      <c r="H28" s="19"/>
      <c r="I28" s="42"/>
    </row>
    <row r="29" spans="1:10" ht="33.75" customHeight="1">
      <c r="A29" s="272" t="s">
        <v>53</v>
      </c>
      <c r="B29" s="289"/>
      <c r="C29" s="1" t="s">
        <v>109</v>
      </c>
      <c r="D29" s="2" t="s">
        <v>1</v>
      </c>
      <c r="E29" s="17">
        <f t="shared" si="2"/>
        <v>28132.5</v>
      </c>
      <c r="F29" s="61">
        <f>72.6*G2</f>
        <v>22506</v>
      </c>
      <c r="G29" s="16"/>
      <c r="H29" s="19">
        <v>13500</v>
      </c>
      <c r="I29" s="42">
        <f t="shared" si="1"/>
        <v>72.58064516129032</v>
      </c>
      <c r="J29" s="3">
        <f t="shared" si="0"/>
        <v>18580.645161290322</v>
      </c>
    </row>
    <row r="30" spans="1:10" ht="39.75" customHeight="1">
      <c r="A30" s="272" t="s">
        <v>126</v>
      </c>
      <c r="B30" s="289"/>
      <c r="C30" s="1" t="s">
        <v>134</v>
      </c>
      <c r="D30" s="2" t="s">
        <v>1</v>
      </c>
      <c r="E30" s="17">
        <f t="shared" si="2"/>
        <v>28473.500000000004</v>
      </c>
      <c r="F30" s="61">
        <f>73.48*G2</f>
        <v>22778.800000000003</v>
      </c>
      <c r="G30" s="16"/>
      <c r="H30" s="19"/>
      <c r="I30" s="42"/>
    </row>
    <row r="31" spans="1:10" ht="40.5" customHeight="1">
      <c r="A31" s="272" t="s">
        <v>127</v>
      </c>
      <c r="B31" s="289"/>
      <c r="C31" s="1" t="s">
        <v>133</v>
      </c>
      <c r="D31" s="2" t="s">
        <v>1</v>
      </c>
      <c r="E31" s="17">
        <f t="shared" si="2"/>
        <v>28473.500000000004</v>
      </c>
      <c r="F31" s="61">
        <f>73.48*G2</f>
        <v>22778.800000000003</v>
      </c>
      <c r="G31" s="16"/>
      <c r="H31" s="19"/>
      <c r="I31" s="42"/>
    </row>
    <row r="32" spans="1:10" ht="40.5" customHeight="1">
      <c r="A32" s="272" t="s">
        <v>128</v>
      </c>
      <c r="B32" s="289"/>
      <c r="C32" s="1" t="s">
        <v>135</v>
      </c>
      <c r="D32" s="2" t="s">
        <v>1</v>
      </c>
      <c r="E32" s="17">
        <f t="shared" si="2"/>
        <v>28473.500000000004</v>
      </c>
      <c r="F32" s="61">
        <f>73.48*G2</f>
        <v>22778.800000000003</v>
      </c>
      <c r="G32" s="16"/>
      <c r="H32" s="19"/>
      <c r="I32" s="42"/>
    </row>
    <row r="33" spans="1:10" ht="34.5" customHeight="1">
      <c r="A33" s="272" t="s">
        <v>129</v>
      </c>
      <c r="B33" s="289"/>
      <c r="C33" s="1" t="s">
        <v>136</v>
      </c>
      <c r="D33" s="2" t="s">
        <v>1</v>
      </c>
      <c r="E33" s="17">
        <f t="shared" si="2"/>
        <v>28473.500000000004</v>
      </c>
      <c r="F33" s="61">
        <f>73.48*G2</f>
        <v>22778.800000000003</v>
      </c>
      <c r="G33" s="16"/>
      <c r="H33" s="19"/>
      <c r="I33" s="42"/>
    </row>
    <row r="34" spans="1:10" ht="28.5" customHeight="1">
      <c r="A34" s="272" t="s">
        <v>86</v>
      </c>
      <c r="B34" s="289"/>
      <c r="C34" s="1" t="s">
        <v>56</v>
      </c>
      <c r="D34" s="2" t="s">
        <v>1</v>
      </c>
      <c r="E34" s="17">
        <f>F34/0.8</f>
        <v>25637.775000000001</v>
      </c>
      <c r="F34" s="61">
        <f>66.162*G2</f>
        <v>20510.22</v>
      </c>
      <c r="G34" s="16"/>
      <c r="H34" s="19"/>
      <c r="I34" s="42"/>
    </row>
    <row r="35" spans="1:10" ht="31.5" customHeight="1">
      <c r="A35" s="272" t="s">
        <v>131</v>
      </c>
      <c r="B35" s="289"/>
      <c r="C35" s="1" t="s">
        <v>56</v>
      </c>
      <c r="D35" s="2" t="s">
        <v>1</v>
      </c>
      <c r="E35" s="17">
        <f>F35/0.8</f>
        <v>27372.612499999999</v>
      </c>
      <c r="F35" s="61">
        <f>70.639*G2</f>
        <v>21898.09</v>
      </c>
      <c r="G35" s="16"/>
      <c r="H35" s="19"/>
      <c r="I35" s="42"/>
    </row>
    <row r="36" spans="1:10" ht="30" customHeight="1">
      <c r="A36" s="272" t="s">
        <v>110</v>
      </c>
      <c r="B36" s="273"/>
      <c r="C36" s="1" t="s">
        <v>42</v>
      </c>
      <c r="D36" s="2" t="s">
        <v>1</v>
      </c>
      <c r="E36" s="17">
        <f t="shared" si="2"/>
        <v>22707.5</v>
      </c>
      <c r="F36" s="61">
        <f>58.6*G2</f>
        <v>18166</v>
      </c>
      <c r="G36" s="39"/>
      <c r="H36" s="19">
        <v>10900</v>
      </c>
      <c r="I36" s="42">
        <f t="shared" si="1"/>
        <v>58.602150537634408</v>
      </c>
      <c r="J36" s="3">
        <f t="shared" si="0"/>
        <v>15002.150537634408</v>
      </c>
    </row>
    <row r="37" spans="1:10" ht="31.5" customHeight="1">
      <c r="A37" s="272" t="s">
        <v>130</v>
      </c>
      <c r="B37" s="273"/>
      <c r="C37" s="1" t="s">
        <v>43</v>
      </c>
      <c r="D37" s="2"/>
      <c r="E37" s="17">
        <f t="shared" si="2"/>
        <v>22707.5</v>
      </c>
      <c r="F37" s="61">
        <f>58.6*G2</f>
        <v>18166</v>
      </c>
      <c r="G37" s="39"/>
      <c r="H37" s="19"/>
      <c r="I37" s="42"/>
    </row>
    <row r="38" spans="1:10" ht="30" customHeight="1">
      <c r="A38" s="298" t="s">
        <v>85</v>
      </c>
      <c r="B38" s="299"/>
      <c r="C38" s="1" t="s">
        <v>43</v>
      </c>
      <c r="D38" s="2" t="s">
        <v>1</v>
      </c>
      <c r="E38" s="17">
        <f t="shared" si="2"/>
        <v>8641.25</v>
      </c>
      <c r="F38" s="61">
        <f>22.3*G2</f>
        <v>6913</v>
      </c>
      <c r="G38" s="39"/>
      <c r="H38" s="19">
        <v>4149.55</v>
      </c>
      <c r="I38" s="42">
        <f t="shared" si="1"/>
        <v>22.309408602150537</v>
      </c>
      <c r="J38" s="3">
        <f t="shared" si="0"/>
        <v>5711.2086021505374</v>
      </c>
    </row>
    <row r="39" spans="1:10" ht="36.75" customHeight="1">
      <c r="A39" s="272" t="s">
        <v>57</v>
      </c>
      <c r="B39" s="289"/>
      <c r="C39" s="1" t="s">
        <v>58</v>
      </c>
      <c r="D39" s="2" t="s">
        <v>1</v>
      </c>
      <c r="E39" s="17">
        <f t="shared" si="2"/>
        <v>3138.75</v>
      </c>
      <c r="F39" s="61">
        <f>8.1*G2</f>
        <v>2511</v>
      </c>
      <c r="G39" s="22"/>
      <c r="H39" s="19">
        <v>1500</v>
      </c>
      <c r="I39" s="42">
        <f t="shared" si="1"/>
        <v>8.064516129032258</v>
      </c>
      <c r="J39" s="3">
        <f t="shared" si="0"/>
        <v>2064.516129032258</v>
      </c>
    </row>
    <row r="40" spans="1:10" ht="26.25" customHeight="1">
      <c r="A40" s="266" t="s">
        <v>37</v>
      </c>
      <c r="B40" s="267"/>
      <c r="C40" s="267"/>
      <c r="D40" s="267"/>
      <c r="E40" s="267"/>
      <c r="F40" s="267"/>
      <c r="G40" s="268"/>
      <c r="H40" s="46"/>
      <c r="I40" s="42">
        <f t="shared" si="1"/>
        <v>0</v>
      </c>
      <c r="J40" s="3">
        <f t="shared" si="0"/>
        <v>0</v>
      </c>
    </row>
    <row r="41" spans="1:10" ht="47.25" customHeight="1">
      <c r="A41" s="296" t="s">
        <v>38</v>
      </c>
      <c r="B41" s="297"/>
      <c r="C41" s="18" t="s">
        <v>108</v>
      </c>
      <c r="D41" s="2" t="s">
        <v>1</v>
      </c>
      <c r="E41" s="17">
        <f>F41/0.8</f>
        <v>5192.5</v>
      </c>
      <c r="F41" s="61">
        <f>13.4*G2</f>
        <v>4154</v>
      </c>
      <c r="G41" s="16"/>
      <c r="H41" s="19">
        <v>2500</v>
      </c>
      <c r="I41" s="42">
        <f t="shared" si="1"/>
        <v>13.440860215053764</v>
      </c>
      <c r="J41" s="3">
        <f t="shared" si="0"/>
        <v>3440.8602150537636</v>
      </c>
    </row>
    <row r="42" spans="1:10" ht="28.5" customHeight="1">
      <c r="A42" s="266" t="s">
        <v>35</v>
      </c>
      <c r="B42" s="267"/>
      <c r="C42" s="267"/>
      <c r="D42" s="267"/>
      <c r="E42" s="267"/>
      <c r="F42" s="267"/>
      <c r="G42" s="268"/>
      <c r="H42" s="46"/>
      <c r="I42" s="42">
        <f t="shared" si="1"/>
        <v>0</v>
      </c>
      <c r="J42" s="3">
        <f t="shared" si="0"/>
        <v>0</v>
      </c>
    </row>
    <row r="43" spans="1:10" ht="56.25" customHeight="1">
      <c r="A43" s="272" t="s">
        <v>172</v>
      </c>
      <c r="B43" s="273"/>
      <c r="C43" s="284" t="s">
        <v>168</v>
      </c>
      <c r="D43" s="2" t="s">
        <v>1</v>
      </c>
      <c r="E43" s="17">
        <f t="shared" ref="E43:E54" si="3">F43/0.8</f>
        <v>49793.75</v>
      </c>
      <c r="F43" s="61">
        <f>128.5*G2</f>
        <v>39835</v>
      </c>
      <c r="G43" s="269"/>
      <c r="H43" s="19">
        <v>23900</v>
      </c>
      <c r="I43" s="42">
        <f t="shared" si="1"/>
        <v>128.49462365591398</v>
      </c>
      <c r="J43" s="3">
        <f t="shared" si="0"/>
        <v>32894.62365591398</v>
      </c>
    </row>
    <row r="44" spans="1:10" ht="56.25" customHeight="1">
      <c r="A44" s="272" t="s">
        <v>173</v>
      </c>
      <c r="B44" s="273"/>
      <c r="C44" s="285"/>
      <c r="D44" s="2" t="s">
        <v>1</v>
      </c>
      <c r="E44" s="17">
        <f t="shared" si="3"/>
        <v>49793.75</v>
      </c>
      <c r="F44" s="61">
        <f>128.5*G2</f>
        <v>39835</v>
      </c>
      <c r="G44" s="270"/>
      <c r="H44" s="19">
        <v>23900</v>
      </c>
      <c r="I44" s="42">
        <f t="shared" si="1"/>
        <v>128.49462365591398</v>
      </c>
      <c r="J44" s="3">
        <f t="shared" si="0"/>
        <v>32894.62365591398</v>
      </c>
    </row>
    <row r="45" spans="1:10" ht="101.25">
      <c r="A45" s="272" t="s">
        <v>174</v>
      </c>
      <c r="B45" s="273"/>
      <c r="C45" s="53" t="s">
        <v>163</v>
      </c>
      <c r="D45" s="2" t="s">
        <v>1</v>
      </c>
      <c r="E45" s="17">
        <f t="shared" si="3"/>
        <v>48437.5</v>
      </c>
      <c r="F45" s="61">
        <f>125*G2</f>
        <v>38750</v>
      </c>
      <c r="G45" s="54"/>
      <c r="H45" s="19"/>
      <c r="I45" s="42"/>
    </row>
    <row r="46" spans="1:10" ht="101.25">
      <c r="A46" s="272" t="s">
        <v>175</v>
      </c>
      <c r="B46" s="289"/>
      <c r="C46" s="53" t="s">
        <v>120</v>
      </c>
      <c r="D46" s="2" t="s">
        <v>1</v>
      </c>
      <c r="E46" s="17">
        <f t="shared" si="3"/>
        <v>28326.25</v>
      </c>
      <c r="F46" s="61">
        <f>73.1*G2</f>
        <v>22661</v>
      </c>
      <c r="G46" s="52"/>
      <c r="H46" s="19">
        <v>13600</v>
      </c>
      <c r="I46" s="42">
        <f t="shared" si="1"/>
        <v>73.118279569892479</v>
      </c>
      <c r="J46" s="3">
        <f t="shared" si="0"/>
        <v>18718.279569892475</v>
      </c>
    </row>
    <row r="47" spans="1:10" ht="57.75" customHeight="1">
      <c r="A47" s="286" t="s">
        <v>176</v>
      </c>
      <c r="B47" s="287"/>
      <c r="C47" s="274" t="s">
        <v>119</v>
      </c>
      <c r="D47" s="16" t="s">
        <v>1</v>
      </c>
      <c r="E47" s="17">
        <f t="shared" si="3"/>
        <v>28473.500000000004</v>
      </c>
      <c r="F47" s="68">
        <f>73.48*G2</f>
        <v>22778.800000000003</v>
      </c>
      <c r="G47" s="81"/>
      <c r="H47" s="19">
        <v>13875</v>
      </c>
      <c r="I47" s="42">
        <f t="shared" si="1"/>
        <v>74.596774193548384</v>
      </c>
      <c r="J47" s="3">
        <f t="shared" si="0"/>
        <v>19096.774193548386</v>
      </c>
    </row>
    <row r="48" spans="1:10" ht="57.75" customHeight="1">
      <c r="A48" s="286" t="s">
        <v>177</v>
      </c>
      <c r="B48" s="287"/>
      <c r="C48" s="275"/>
      <c r="D48" s="16" t="s">
        <v>1</v>
      </c>
      <c r="E48" s="17">
        <f t="shared" si="3"/>
        <v>28473.500000000004</v>
      </c>
      <c r="F48" s="68">
        <f>73.48*G2</f>
        <v>22778.800000000003</v>
      </c>
      <c r="G48" s="81"/>
      <c r="H48" s="19"/>
      <c r="I48" s="42"/>
    </row>
    <row r="49" spans="1:12" ht="101.25">
      <c r="A49" s="286" t="s">
        <v>178</v>
      </c>
      <c r="B49" s="287"/>
      <c r="C49" s="82" t="s">
        <v>164</v>
      </c>
      <c r="D49" s="16" t="s">
        <v>1</v>
      </c>
      <c r="E49" s="17">
        <f t="shared" si="3"/>
        <v>35212.125</v>
      </c>
      <c r="F49" s="68">
        <f>90.87*G2</f>
        <v>28169.7</v>
      </c>
      <c r="G49" s="83"/>
      <c r="H49" s="19"/>
      <c r="I49" s="42"/>
    </row>
    <row r="50" spans="1:12" ht="60.75" customHeight="1">
      <c r="A50" s="272" t="s">
        <v>179</v>
      </c>
      <c r="B50" s="273"/>
      <c r="C50" s="284" t="s">
        <v>165</v>
      </c>
      <c r="D50" s="2" t="s">
        <v>1</v>
      </c>
      <c r="E50" s="17">
        <f t="shared" si="3"/>
        <v>17902.5</v>
      </c>
      <c r="F50" s="61">
        <f>46.2*G2</f>
        <v>14322</v>
      </c>
      <c r="G50" s="72"/>
      <c r="H50" s="19">
        <v>8600</v>
      </c>
      <c r="I50" s="42">
        <f t="shared" si="1"/>
        <v>46.236559139784944</v>
      </c>
      <c r="J50" s="3">
        <f t="shared" si="0"/>
        <v>11836.559139784946</v>
      </c>
    </row>
    <row r="51" spans="1:12" ht="60.75" customHeight="1">
      <c r="A51" s="272" t="s">
        <v>180</v>
      </c>
      <c r="B51" s="273"/>
      <c r="C51" s="285"/>
      <c r="D51" s="2" t="s">
        <v>1</v>
      </c>
      <c r="E51" s="17">
        <f t="shared" si="3"/>
        <v>19568.75</v>
      </c>
      <c r="F51" s="61">
        <f>50.5*G2</f>
        <v>15655</v>
      </c>
      <c r="G51" s="16" t="s">
        <v>207</v>
      </c>
      <c r="H51" s="19">
        <v>9400</v>
      </c>
      <c r="I51" s="42">
        <f t="shared" si="1"/>
        <v>50.537634408602152</v>
      </c>
      <c r="J51" s="3">
        <f t="shared" si="0"/>
        <v>12937.634408602151</v>
      </c>
    </row>
    <row r="52" spans="1:12" ht="101.25">
      <c r="A52" s="276" t="s">
        <v>181</v>
      </c>
      <c r="B52" s="273"/>
      <c r="C52" s="11" t="s">
        <v>123</v>
      </c>
      <c r="D52" s="2" t="s">
        <v>1</v>
      </c>
      <c r="E52" s="17">
        <f t="shared" si="3"/>
        <v>11780</v>
      </c>
      <c r="F52" s="61">
        <f>30.4*G2</f>
        <v>9424</v>
      </c>
      <c r="G52" s="25"/>
      <c r="H52" s="19">
        <v>5650</v>
      </c>
      <c r="I52" s="42">
        <f t="shared" si="1"/>
        <v>30.376344086021504</v>
      </c>
      <c r="J52" s="3">
        <f t="shared" si="0"/>
        <v>7776.3440860215051</v>
      </c>
    </row>
    <row r="53" spans="1:12" ht="101.25">
      <c r="A53" s="276" t="s">
        <v>182</v>
      </c>
      <c r="B53" s="273"/>
      <c r="C53" s="11" t="s">
        <v>166</v>
      </c>
      <c r="D53" s="2" t="s">
        <v>1</v>
      </c>
      <c r="E53" s="17">
        <f t="shared" si="3"/>
        <v>11780</v>
      </c>
      <c r="F53" s="61">
        <f>30.4*G2</f>
        <v>9424</v>
      </c>
      <c r="G53" s="16"/>
      <c r="H53" s="19">
        <v>5650</v>
      </c>
      <c r="I53" s="42">
        <f t="shared" si="1"/>
        <v>30.376344086021504</v>
      </c>
      <c r="J53" s="3">
        <f t="shared" si="0"/>
        <v>7776.3440860215051</v>
      </c>
    </row>
    <row r="54" spans="1:12" ht="101.25">
      <c r="A54" s="276" t="s">
        <v>183</v>
      </c>
      <c r="B54" s="273"/>
      <c r="C54" s="11" t="s">
        <v>124</v>
      </c>
      <c r="D54" s="2" t="s">
        <v>1</v>
      </c>
      <c r="E54" s="17">
        <f t="shared" si="3"/>
        <v>9997.5</v>
      </c>
      <c r="F54" s="61">
        <f>25.8*G2</f>
        <v>7998</v>
      </c>
      <c r="G54" s="16"/>
      <c r="H54" s="19">
        <v>4800</v>
      </c>
      <c r="I54" s="42">
        <f t="shared" si="1"/>
        <v>25.806451612903224</v>
      </c>
      <c r="J54" s="3">
        <f t="shared" si="0"/>
        <v>6606.4516129032254</v>
      </c>
    </row>
    <row r="55" spans="1:12" ht="16.5" customHeight="1">
      <c r="A55" s="290" t="s">
        <v>4</v>
      </c>
      <c r="B55" s="291"/>
      <c r="C55" s="291"/>
      <c r="D55" s="291"/>
      <c r="E55" s="291"/>
      <c r="F55" s="291"/>
      <c r="G55" s="292"/>
      <c r="H55" s="43"/>
      <c r="I55" s="42">
        <f t="shared" si="1"/>
        <v>0</v>
      </c>
      <c r="J55" s="3">
        <f t="shared" si="0"/>
        <v>0</v>
      </c>
    </row>
    <row r="56" spans="1:12" ht="12.75" customHeight="1">
      <c r="A56" s="293" t="s">
        <v>12</v>
      </c>
      <c r="B56" s="294"/>
      <c r="C56" s="294"/>
      <c r="D56" s="294"/>
      <c r="E56" s="294"/>
      <c r="F56" s="294"/>
      <c r="G56" s="295"/>
      <c r="H56" s="44"/>
      <c r="I56" s="42">
        <f t="shared" si="1"/>
        <v>0</v>
      </c>
      <c r="J56" s="3">
        <f t="shared" si="0"/>
        <v>0</v>
      </c>
    </row>
    <row r="57" spans="1:12" ht="24.75" customHeight="1">
      <c r="A57" s="272" t="s">
        <v>14</v>
      </c>
      <c r="B57" s="273"/>
      <c r="C57" s="18" t="s">
        <v>142</v>
      </c>
      <c r="D57" s="2" t="s">
        <v>1</v>
      </c>
      <c r="E57" s="64">
        <f t="shared" ref="E57:E62" si="4">F57/0.8</f>
        <v>52700</v>
      </c>
      <c r="F57" s="61">
        <f>136*G2</f>
        <v>42160</v>
      </c>
      <c r="G57" s="25"/>
      <c r="H57" s="19">
        <v>25300</v>
      </c>
      <c r="I57" s="42">
        <f t="shared" si="1"/>
        <v>136.02150537634409</v>
      </c>
      <c r="J57" s="3">
        <f t="shared" si="0"/>
        <v>34821.505376344088</v>
      </c>
    </row>
    <row r="58" spans="1:12" ht="24.75" customHeight="1">
      <c r="A58" s="272" t="s">
        <v>196</v>
      </c>
      <c r="B58" s="273"/>
      <c r="C58" s="18" t="s">
        <v>197</v>
      </c>
      <c r="D58" s="2" t="s">
        <v>1</v>
      </c>
      <c r="E58" s="64">
        <f t="shared" si="4"/>
        <v>48968.375</v>
      </c>
      <c r="F58" s="61">
        <f>126.37*G2</f>
        <v>39174.700000000004</v>
      </c>
      <c r="G58" s="25"/>
      <c r="H58" s="19"/>
      <c r="I58" s="42"/>
    </row>
    <row r="59" spans="1:12" ht="22.5" customHeight="1">
      <c r="A59" s="272" t="s">
        <v>15</v>
      </c>
      <c r="B59" s="273"/>
      <c r="C59" s="18" t="s">
        <v>143</v>
      </c>
      <c r="D59" s="2" t="s">
        <v>1</v>
      </c>
      <c r="E59" s="64">
        <f t="shared" si="4"/>
        <v>41268.75</v>
      </c>
      <c r="F59" s="61">
        <f>106.5*G2</f>
        <v>33015</v>
      </c>
      <c r="G59" s="16"/>
      <c r="H59" s="19">
        <v>19800</v>
      </c>
      <c r="I59" s="42">
        <f t="shared" si="1"/>
        <v>106.45161290322581</v>
      </c>
      <c r="J59" s="3">
        <f t="shared" si="0"/>
        <v>27251.612903225807</v>
      </c>
    </row>
    <row r="60" spans="1:12" ht="22.5" customHeight="1">
      <c r="A60" s="272" t="s">
        <v>16</v>
      </c>
      <c r="B60" s="273"/>
      <c r="C60" s="18" t="s">
        <v>144</v>
      </c>
      <c r="D60" s="2" t="s">
        <v>1</v>
      </c>
      <c r="E60" s="64">
        <f t="shared" si="4"/>
        <v>35843.75</v>
      </c>
      <c r="F60" s="61">
        <f>92.5*G2</f>
        <v>28675</v>
      </c>
      <c r="G60" s="25"/>
      <c r="H60" s="19">
        <v>17200</v>
      </c>
      <c r="I60" s="42">
        <f t="shared" si="1"/>
        <v>92.473118279569889</v>
      </c>
      <c r="J60" s="3">
        <f t="shared" si="0"/>
        <v>23673.118279569891</v>
      </c>
      <c r="L60" s="21"/>
    </row>
    <row r="61" spans="1:12" ht="24.75" customHeight="1">
      <c r="A61" s="272" t="s">
        <v>17</v>
      </c>
      <c r="B61" s="273"/>
      <c r="C61" s="18" t="s">
        <v>145</v>
      </c>
      <c r="D61" s="2" t="s">
        <v>1</v>
      </c>
      <c r="E61" s="64">
        <f t="shared" si="4"/>
        <v>27706.25</v>
      </c>
      <c r="F61" s="61">
        <f>71.5*G2</f>
        <v>22165</v>
      </c>
      <c r="G61" s="16"/>
      <c r="H61" s="19">
        <v>13300</v>
      </c>
      <c r="I61" s="42">
        <f t="shared" si="1"/>
        <v>71.505376344086017</v>
      </c>
      <c r="J61" s="3">
        <f t="shared" si="0"/>
        <v>18305.37634408602</v>
      </c>
    </row>
    <row r="62" spans="1:12" ht="24" customHeight="1">
      <c r="A62" s="272" t="s">
        <v>13</v>
      </c>
      <c r="B62" s="273"/>
      <c r="C62" s="18" t="s">
        <v>167</v>
      </c>
      <c r="D62" s="2" t="s">
        <v>1</v>
      </c>
      <c r="E62" s="64">
        <f t="shared" si="4"/>
        <v>58202.5</v>
      </c>
      <c r="F62" s="61">
        <f>150.2*G2</f>
        <v>46562</v>
      </c>
      <c r="G62" s="25"/>
      <c r="H62" s="19">
        <v>27929.032258064515</v>
      </c>
      <c r="I62" s="42">
        <f t="shared" si="1"/>
        <v>150.15608740894902</v>
      </c>
      <c r="J62" s="3">
        <f t="shared" si="0"/>
        <v>38439.958376690949</v>
      </c>
    </row>
    <row r="63" spans="1:12" ht="23.25" customHeight="1">
      <c r="A63" s="288" t="s">
        <v>3</v>
      </c>
      <c r="B63" s="288"/>
      <c r="C63" s="288"/>
      <c r="D63" s="288"/>
      <c r="E63" s="288"/>
      <c r="F63" s="288"/>
      <c r="G63" s="288"/>
      <c r="H63" s="47"/>
      <c r="I63" s="42">
        <f t="shared" si="1"/>
        <v>0</v>
      </c>
      <c r="J63" s="3">
        <f t="shared" si="0"/>
        <v>0</v>
      </c>
    </row>
    <row r="64" spans="1:12" ht="20.25" customHeight="1">
      <c r="A64" s="266" t="s">
        <v>33</v>
      </c>
      <c r="B64" s="267"/>
      <c r="C64" s="267"/>
      <c r="D64" s="267"/>
      <c r="E64" s="267"/>
      <c r="F64" s="267"/>
      <c r="G64" s="268"/>
      <c r="H64" s="46"/>
      <c r="I64" s="42">
        <f t="shared" si="1"/>
        <v>0</v>
      </c>
      <c r="J64" s="3">
        <f t="shared" si="0"/>
        <v>0</v>
      </c>
    </row>
    <row r="65" spans="1:10" ht="31.5" customHeight="1">
      <c r="A65" s="280" t="s">
        <v>25</v>
      </c>
      <c r="B65" s="309"/>
      <c r="C65" s="90" t="s">
        <v>140</v>
      </c>
      <c r="D65" s="91" t="s">
        <v>1</v>
      </c>
      <c r="E65" s="95">
        <f>F65/0.8</f>
        <v>14030</v>
      </c>
      <c r="F65" s="20">
        <v>11224</v>
      </c>
      <c r="G65" s="94" t="s">
        <v>220</v>
      </c>
      <c r="H65" s="20">
        <v>13302</v>
      </c>
      <c r="I65" s="42">
        <f t="shared" si="1"/>
        <v>71.516129032258064</v>
      </c>
      <c r="J65" s="3">
        <f t="shared" si="0"/>
        <v>18308.129032258064</v>
      </c>
    </row>
    <row r="66" spans="1:10" ht="26.25" customHeight="1">
      <c r="A66" s="280" t="s">
        <v>26</v>
      </c>
      <c r="B66" s="309"/>
      <c r="C66" s="90" t="s">
        <v>141</v>
      </c>
      <c r="D66" s="91" t="s">
        <v>1</v>
      </c>
      <c r="E66" s="95">
        <f>F66/0.8</f>
        <v>25053.75</v>
      </c>
      <c r="F66" s="20">
        <v>20043</v>
      </c>
      <c r="G66" s="94" t="s">
        <v>220</v>
      </c>
      <c r="H66" s="20">
        <v>18593</v>
      </c>
      <c r="I66" s="42">
        <f t="shared" si="1"/>
        <v>99.962365591397855</v>
      </c>
      <c r="J66" s="3">
        <f t="shared" si="0"/>
        <v>25590.365591397851</v>
      </c>
    </row>
    <row r="67" spans="1:10" ht="26.25" customHeight="1">
      <c r="A67" s="266" t="s">
        <v>200</v>
      </c>
      <c r="B67" s="267"/>
      <c r="C67" s="267"/>
      <c r="D67" s="267"/>
      <c r="E67" s="267"/>
      <c r="F67" s="267"/>
      <c r="G67" s="267"/>
      <c r="H67" s="74"/>
      <c r="I67" s="75"/>
    </row>
    <row r="68" spans="1:10" ht="26.25" customHeight="1">
      <c r="A68" s="271" t="s">
        <v>202</v>
      </c>
      <c r="B68" s="271"/>
      <c r="C68" s="77" t="s">
        <v>206</v>
      </c>
      <c r="D68" s="16" t="s">
        <v>1</v>
      </c>
      <c r="E68" s="50">
        <f>F68/0.8</f>
        <v>12221.749999999998</v>
      </c>
      <c r="F68" s="84">
        <f>31.54*G2</f>
        <v>9777.4</v>
      </c>
      <c r="G68" s="40"/>
      <c r="H68" s="76"/>
      <c r="I68" s="76"/>
    </row>
    <row r="69" spans="1:10" ht="28.5" customHeight="1">
      <c r="A69" s="271" t="s">
        <v>201</v>
      </c>
      <c r="B69" s="271"/>
      <c r="C69" s="77" t="s">
        <v>203</v>
      </c>
      <c r="D69" s="16" t="s">
        <v>1</v>
      </c>
      <c r="E69" s="50">
        <f>F69/0.8</f>
        <v>13264.512500000001</v>
      </c>
      <c r="F69" s="70">
        <f>34.231*G2</f>
        <v>10611.61</v>
      </c>
      <c r="G69" s="39"/>
      <c r="H69" s="73"/>
      <c r="I69" s="42"/>
    </row>
    <row r="70" spans="1:10" ht="22.5" customHeight="1">
      <c r="A70" s="266" t="s">
        <v>115</v>
      </c>
      <c r="B70" s="267"/>
      <c r="C70" s="267"/>
      <c r="D70" s="267"/>
      <c r="E70" s="267"/>
      <c r="F70" s="267"/>
      <c r="G70" s="268"/>
      <c r="H70" s="46"/>
      <c r="I70" s="42">
        <f t="shared" si="1"/>
        <v>0</v>
      </c>
      <c r="J70" s="3">
        <f t="shared" si="0"/>
        <v>0</v>
      </c>
    </row>
    <row r="71" spans="1:10" ht="23.25" customHeight="1">
      <c r="A71" s="282" t="s">
        <v>116</v>
      </c>
      <c r="B71" s="283"/>
      <c r="C71" s="58" t="s">
        <v>117</v>
      </c>
      <c r="D71" s="39" t="s">
        <v>1</v>
      </c>
      <c r="E71" s="51">
        <f>F71/0.8</f>
        <v>13314.5</v>
      </c>
      <c r="F71" s="51">
        <f>34.36*G2</f>
        <v>10651.6</v>
      </c>
      <c r="G71" s="40"/>
      <c r="H71" s="48"/>
      <c r="I71" s="42">
        <f t="shared" si="1"/>
        <v>0</v>
      </c>
      <c r="J71" s="3">
        <f t="shared" si="0"/>
        <v>0</v>
      </c>
    </row>
    <row r="72" spans="1:10" ht="28.5" customHeight="1">
      <c r="A72" s="266" t="s">
        <v>160</v>
      </c>
      <c r="B72" s="267"/>
      <c r="C72" s="267"/>
      <c r="D72" s="267"/>
      <c r="E72" s="267"/>
      <c r="F72" s="267"/>
      <c r="G72" s="268"/>
      <c r="H72" s="48"/>
      <c r="I72" s="42"/>
    </row>
    <row r="73" spans="1:10" ht="28.5" customHeight="1">
      <c r="A73" s="271" t="s">
        <v>194</v>
      </c>
      <c r="B73" s="271"/>
      <c r="C73" s="58" t="s">
        <v>195</v>
      </c>
      <c r="D73" s="39" t="s">
        <v>1</v>
      </c>
      <c r="E73" s="51">
        <f>F73/0.8</f>
        <v>4123</v>
      </c>
      <c r="F73" s="51">
        <f>10.64*G2</f>
        <v>3298.4</v>
      </c>
      <c r="G73" s="40"/>
      <c r="H73" s="48"/>
      <c r="I73" s="42"/>
    </row>
    <row r="74" spans="1:10" ht="23.25" customHeight="1">
      <c r="A74" s="271" t="s">
        <v>161</v>
      </c>
      <c r="B74" s="271"/>
      <c r="C74" s="58" t="s">
        <v>162</v>
      </c>
      <c r="D74" s="39" t="s">
        <v>1</v>
      </c>
      <c r="E74" s="51">
        <f>F74/0.8</f>
        <v>6184.5</v>
      </c>
      <c r="F74" s="51">
        <f>15.96*G2</f>
        <v>4947.6000000000004</v>
      </c>
      <c r="G74" s="40"/>
      <c r="H74" s="48"/>
      <c r="I74" s="42"/>
    </row>
    <row r="75" spans="1:10" ht="25.5" customHeight="1">
      <c r="A75" s="266" t="s">
        <v>31</v>
      </c>
      <c r="B75" s="267"/>
      <c r="C75" s="267"/>
      <c r="D75" s="267"/>
      <c r="E75" s="267"/>
      <c r="F75" s="267"/>
      <c r="G75" s="268"/>
      <c r="H75" s="46"/>
      <c r="I75" s="42">
        <f t="shared" si="1"/>
        <v>0</v>
      </c>
      <c r="J75" s="3">
        <f t="shared" si="0"/>
        <v>0</v>
      </c>
    </row>
    <row r="76" spans="1:10" ht="38.25" customHeight="1">
      <c r="A76" s="282" t="s">
        <v>7</v>
      </c>
      <c r="B76" s="287"/>
      <c r="C76" s="66" t="s">
        <v>138</v>
      </c>
      <c r="D76" s="16" t="s">
        <v>1</v>
      </c>
      <c r="E76" s="67">
        <f t="shared" ref="E76:E81" si="5">F76/0.8</f>
        <v>8331.25</v>
      </c>
      <c r="F76" s="68">
        <f>21.5*G2</f>
        <v>6665</v>
      </c>
      <c r="G76" s="39"/>
      <c r="H76" s="20">
        <v>3990</v>
      </c>
      <c r="I76" s="42">
        <f t="shared" si="1"/>
        <v>21.451612903225808</v>
      </c>
      <c r="J76" s="3">
        <f t="shared" si="0"/>
        <v>5491.6129032258068</v>
      </c>
    </row>
    <row r="77" spans="1:10" ht="29.25" customHeight="1">
      <c r="A77" s="286" t="s">
        <v>169</v>
      </c>
      <c r="B77" s="287"/>
      <c r="C77" s="66" t="s">
        <v>139</v>
      </c>
      <c r="D77" s="16" t="s">
        <v>1</v>
      </c>
      <c r="E77" s="69">
        <f t="shared" si="5"/>
        <v>15829.375</v>
      </c>
      <c r="F77" s="70">
        <f>40.85*G2</f>
        <v>12663.5</v>
      </c>
      <c r="G77" s="39"/>
      <c r="H77" s="20"/>
      <c r="I77" s="42"/>
    </row>
    <row r="78" spans="1:10" ht="29.25" customHeight="1">
      <c r="A78" s="286" t="s">
        <v>170</v>
      </c>
      <c r="B78" s="287"/>
      <c r="C78" s="66" t="s">
        <v>139</v>
      </c>
      <c r="D78" s="16" t="s">
        <v>1</v>
      </c>
      <c r="E78" s="69">
        <f t="shared" si="5"/>
        <v>15500</v>
      </c>
      <c r="F78" s="70">
        <f>40*G2</f>
        <v>12400</v>
      </c>
      <c r="G78" s="39"/>
      <c r="H78" s="20"/>
      <c r="I78" s="42"/>
    </row>
    <row r="79" spans="1:10" ht="29.25" customHeight="1">
      <c r="A79" s="286" t="s">
        <v>171</v>
      </c>
      <c r="B79" s="287"/>
      <c r="C79" s="66" t="s">
        <v>157</v>
      </c>
      <c r="D79" s="16" t="s">
        <v>1</v>
      </c>
      <c r="E79" s="69">
        <f t="shared" si="5"/>
        <v>17972.25</v>
      </c>
      <c r="F79" s="70">
        <f>46.38*G2</f>
        <v>14377.800000000001</v>
      </c>
      <c r="G79" s="39"/>
      <c r="H79" s="20"/>
      <c r="I79" s="42"/>
    </row>
    <row r="80" spans="1:10" ht="29.25" customHeight="1">
      <c r="A80" s="282" t="s">
        <v>158</v>
      </c>
      <c r="B80" s="283"/>
      <c r="C80" s="66" t="s">
        <v>185</v>
      </c>
      <c r="D80" s="16" t="s">
        <v>1</v>
      </c>
      <c r="E80" s="69">
        <f t="shared" si="5"/>
        <v>3875</v>
      </c>
      <c r="F80" s="70">
        <f>10*G2</f>
        <v>3100</v>
      </c>
      <c r="G80" s="88"/>
      <c r="H80" s="20"/>
      <c r="I80" s="42"/>
    </row>
    <row r="81" spans="1:10" ht="30.75" customHeight="1">
      <c r="A81" s="282" t="s">
        <v>159</v>
      </c>
      <c r="B81" s="283"/>
      <c r="C81" s="66" t="s">
        <v>184</v>
      </c>
      <c r="D81" s="16" t="s">
        <v>1</v>
      </c>
      <c r="E81" s="69">
        <f t="shared" si="5"/>
        <v>3273.9874999999997</v>
      </c>
      <c r="F81" s="70">
        <f>8.449*G2</f>
        <v>2619.19</v>
      </c>
      <c r="G81" s="88"/>
      <c r="H81" s="20">
        <v>3800</v>
      </c>
      <c r="I81" s="42">
        <f t="shared" si="1"/>
        <v>20.43010752688172</v>
      </c>
      <c r="J81" s="3">
        <f t="shared" si="0"/>
        <v>5230.1075268817203</v>
      </c>
    </row>
    <row r="82" spans="1:10" ht="25.5" customHeight="1">
      <c r="A82" s="266" t="s">
        <v>29</v>
      </c>
      <c r="B82" s="267"/>
      <c r="C82" s="267"/>
      <c r="D82" s="267"/>
      <c r="E82" s="267"/>
      <c r="F82" s="267"/>
      <c r="G82" s="268"/>
      <c r="H82" s="46"/>
      <c r="I82" s="42">
        <f t="shared" si="1"/>
        <v>0</v>
      </c>
      <c r="J82" s="3">
        <f t="shared" si="0"/>
        <v>0</v>
      </c>
    </row>
    <row r="83" spans="1:10" ht="28.5" customHeight="1">
      <c r="A83" s="282" t="s">
        <v>137</v>
      </c>
      <c r="B83" s="283"/>
      <c r="C83" s="59" t="s">
        <v>156</v>
      </c>
      <c r="D83" s="39" t="s">
        <v>1</v>
      </c>
      <c r="E83" s="51">
        <f t="shared" ref="E83:E88" si="6">F83/0.8</f>
        <v>17270.875</v>
      </c>
      <c r="F83" s="51">
        <f>44.57*G2</f>
        <v>13816.7</v>
      </c>
      <c r="G83" s="40"/>
      <c r="H83" s="46"/>
      <c r="I83" s="42"/>
    </row>
    <row r="84" spans="1:10" ht="28.5" customHeight="1">
      <c r="A84" s="272" t="s">
        <v>155</v>
      </c>
      <c r="B84" s="273"/>
      <c r="C84" s="60" t="s">
        <v>40</v>
      </c>
      <c r="D84" s="2" t="s">
        <v>1</v>
      </c>
      <c r="E84" s="62">
        <f t="shared" si="6"/>
        <v>13686.5</v>
      </c>
      <c r="F84" s="63">
        <f>35.32*G2</f>
        <v>10949.2</v>
      </c>
      <c r="G84" s="16"/>
      <c r="H84" s="19">
        <v>6990</v>
      </c>
      <c r="I84" s="42">
        <f t="shared" si="1"/>
        <v>37.58064516129032</v>
      </c>
      <c r="J84" s="3">
        <f t="shared" si="0"/>
        <v>9620.645161290322</v>
      </c>
    </row>
    <row r="85" spans="1:10" ht="28.5" customHeight="1">
      <c r="A85" s="272" t="s">
        <v>118</v>
      </c>
      <c r="B85" s="273"/>
      <c r="C85" s="60" t="s">
        <v>39</v>
      </c>
      <c r="D85" s="2" t="s">
        <v>1</v>
      </c>
      <c r="E85" s="62">
        <f t="shared" si="6"/>
        <v>15647.25</v>
      </c>
      <c r="F85" s="63">
        <f>40.38*G2</f>
        <v>12517.800000000001</v>
      </c>
      <c r="G85" s="16"/>
      <c r="H85" s="19">
        <v>7990</v>
      </c>
      <c r="I85" s="42">
        <f t="shared" si="1"/>
        <v>42.956989247311824</v>
      </c>
      <c r="J85" s="3">
        <f t="shared" si="0"/>
        <v>10996.989247311827</v>
      </c>
    </row>
    <row r="86" spans="1:10" ht="28.5" customHeight="1">
      <c r="A86" s="272" t="s">
        <v>111</v>
      </c>
      <c r="B86" s="273"/>
      <c r="C86" s="60" t="s">
        <v>40</v>
      </c>
      <c r="D86" s="2" t="s">
        <v>1</v>
      </c>
      <c r="E86" s="62">
        <f t="shared" si="6"/>
        <v>13000.625</v>
      </c>
      <c r="F86" s="63">
        <f>33.55*G2</f>
        <v>10400.5</v>
      </c>
      <c r="G86" s="16"/>
      <c r="H86" s="41"/>
      <c r="I86" s="42">
        <f t="shared" si="1"/>
        <v>0</v>
      </c>
      <c r="J86" s="3">
        <f t="shared" si="0"/>
        <v>0</v>
      </c>
    </row>
    <row r="87" spans="1:10" ht="28.5" customHeight="1">
      <c r="A87" s="272" t="s">
        <v>112</v>
      </c>
      <c r="B87" s="273"/>
      <c r="C87" s="60" t="s">
        <v>39</v>
      </c>
      <c r="D87" s="2" t="s">
        <v>1</v>
      </c>
      <c r="E87" s="62">
        <f t="shared" si="6"/>
        <v>14860.625</v>
      </c>
      <c r="F87" s="63">
        <f>38.35*G2</f>
        <v>11888.5</v>
      </c>
      <c r="G87" s="16"/>
      <c r="H87" s="41"/>
      <c r="I87" s="42">
        <f t="shared" si="1"/>
        <v>0</v>
      </c>
      <c r="J87" s="3">
        <f t="shared" si="0"/>
        <v>0</v>
      </c>
    </row>
    <row r="88" spans="1:10" ht="28.5" customHeight="1">
      <c r="A88" s="272" t="s">
        <v>113</v>
      </c>
      <c r="B88" s="273"/>
      <c r="C88" s="60" t="s">
        <v>114</v>
      </c>
      <c r="D88" s="2" t="s">
        <v>1</v>
      </c>
      <c r="E88" s="62">
        <f t="shared" si="6"/>
        <v>17604.124999999996</v>
      </c>
      <c r="F88" s="63">
        <f>45.43*G2</f>
        <v>14083.3</v>
      </c>
      <c r="G88" s="16"/>
      <c r="H88" s="41"/>
      <c r="I88" s="42">
        <f t="shared" si="1"/>
        <v>0</v>
      </c>
      <c r="J88" s="3">
        <f t="shared" si="0"/>
        <v>0</v>
      </c>
    </row>
    <row r="89" spans="1:10" ht="27" customHeight="1">
      <c r="A89" s="266" t="s">
        <v>41</v>
      </c>
      <c r="B89" s="307"/>
      <c r="C89" s="307"/>
      <c r="D89" s="307"/>
      <c r="E89" s="307"/>
      <c r="F89" s="307"/>
      <c r="G89" s="308"/>
      <c r="H89" s="49"/>
      <c r="I89" s="42">
        <f t="shared" si="1"/>
        <v>0</v>
      </c>
      <c r="J89" s="3">
        <f t="shared" si="0"/>
        <v>0</v>
      </c>
    </row>
    <row r="90" spans="1:10" ht="30" customHeight="1">
      <c r="A90" s="272" t="s">
        <v>8</v>
      </c>
      <c r="B90" s="273"/>
      <c r="C90" s="18" t="s">
        <v>146</v>
      </c>
      <c r="D90" s="2" t="s">
        <v>1</v>
      </c>
      <c r="E90" s="64">
        <f>F90/0.8</f>
        <v>47801.999999999993</v>
      </c>
      <c r="F90" s="61">
        <f>123.36*G2</f>
        <v>38241.599999999999</v>
      </c>
      <c r="G90" s="25"/>
      <c r="H90" s="19">
        <v>21645</v>
      </c>
      <c r="I90" s="42">
        <f t="shared" si="1"/>
        <v>116.37096774193549</v>
      </c>
      <c r="J90" s="3">
        <f t="shared" si="0"/>
        <v>29790.967741935485</v>
      </c>
    </row>
    <row r="91" spans="1:10" ht="25.5" customHeight="1">
      <c r="A91" s="266" t="s">
        <v>30</v>
      </c>
      <c r="B91" s="267"/>
      <c r="C91" s="267"/>
      <c r="D91" s="267"/>
      <c r="E91" s="267"/>
      <c r="F91" s="267"/>
      <c r="G91" s="268"/>
      <c r="H91" s="46"/>
      <c r="I91" s="42">
        <f t="shared" si="1"/>
        <v>0</v>
      </c>
      <c r="J91" s="3">
        <f t="shared" si="0"/>
        <v>0</v>
      </c>
    </row>
    <row r="92" spans="1:10" ht="21" customHeight="1">
      <c r="A92" s="272" t="s">
        <v>44</v>
      </c>
      <c r="B92" s="273"/>
      <c r="C92" s="18" t="s">
        <v>147</v>
      </c>
      <c r="D92" s="4" t="s">
        <v>1</v>
      </c>
      <c r="E92" s="64">
        <f>F92/0.8</f>
        <v>41462.5</v>
      </c>
      <c r="F92" s="61">
        <f>107*G2</f>
        <v>33170</v>
      </c>
      <c r="G92" s="25"/>
      <c r="H92" s="19">
        <v>19900</v>
      </c>
      <c r="I92" s="42">
        <f t="shared" si="1"/>
        <v>106.98924731182795</v>
      </c>
      <c r="J92" s="3">
        <f t="shared" si="0"/>
        <v>27389.247311827956</v>
      </c>
    </row>
    <row r="93" spans="1:10" ht="21" customHeight="1">
      <c r="A93" s="272" t="s">
        <v>45</v>
      </c>
      <c r="B93" s="273"/>
      <c r="C93" s="18" t="s">
        <v>148</v>
      </c>
      <c r="D93" s="4" t="s">
        <v>1</v>
      </c>
      <c r="E93" s="64">
        <f t="shared" ref="E93:E98" si="7">F93/0.8</f>
        <v>49793.75</v>
      </c>
      <c r="F93" s="61">
        <f>128.5*G2</f>
        <v>39835</v>
      </c>
      <c r="G93" s="25"/>
      <c r="H93" s="19">
        <v>23900</v>
      </c>
      <c r="I93" s="42">
        <f t="shared" si="1"/>
        <v>128.49462365591398</v>
      </c>
      <c r="J93" s="3">
        <f t="shared" si="0"/>
        <v>32894.62365591398</v>
      </c>
    </row>
    <row r="94" spans="1:10" ht="21" customHeight="1">
      <c r="A94" s="272" t="s">
        <v>9</v>
      </c>
      <c r="B94" s="273"/>
      <c r="C94" s="18" t="s">
        <v>149</v>
      </c>
      <c r="D94" s="4" t="s">
        <v>1</v>
      </c>
      <c r="E94" s="64">
        <f t="shared" si="7"/>
        <v>61457.5</v>
      </c>
      <c r="F94" s="61">
        <f>158.6*G2</f>
        <v>49166</v>
      </c>
      <c r="G94" s="25"/>
      <c r="H94" s="19">
        <v>29500</v>
      </c>
      <c r="I94" s="42">
        <f t="shared" si="1"/>
        <v>158.6021505376344</v>
      </c>
      <c r="J94" s="3">
        <f t="shared" si="0"/>
        <v>40602.150537634407</v>
      </c>
    </row>
    <row r="95" spans="1:10" ht="21" customHeight="1">
      <c r="A95" s="272" t="s">
        <v>47</v>
      </c>
      <c r="B95" s="273"/>
      <c r="C95" s="18" t="s">
        <v>150</v>
      </c>
      <c r="D95" s="4" t="s">
        <v>1</v>
      </c>
      <c r="E95" s="64">
        <f t="shared" si="7"/>
        <v>74593.75</v>
      </c>
      <c r="F95" s="61">
        <f>192.5*G2</f>
        <v>59675</v>
      </c>
      <c r="G95" s="25"/>
      <c r="H95" s="19">
        <v>35800</v>
      </c>
      <c r="I95" s="42">
        <f t="shared" si="1"/>
        <v>192.47311827956989</v>
      </c>
      <c r="J95" s="3">
        <f t="shared" si="0"/>
        <v>49273.118279569891</v>
      </c>
    </row>
    <row r="96" spans="1:10" ht="21" customHeight="1">
      <c r="A96" s="272" t="s">
        <v>46</v>
      </c>
      <c r="B96" s="273"/>
      <c r="C96" s="18" t="s">
        <v>151</v>
      </c>
      <c r="D96" s="4" t="s">
        <v>1</v>
      </c>
      <c r="E96" s="64">
        <f t="shared" si="7"/>
        <v>89163.75</v>
      </c>
      <c r="F96" s="61">
        <f>230.1*G2</f>
        <v>71331</v>
      </c>
      <c r="G96" s="25"/>
      <c r="H96" s="19">
        <v>42800</v>
      </c>
      <c r="I96" s="42">
        <f t="shared" si="1"/>
        <v>230.10752688172042</v>
      </c>
      <c r="J96" s="3">
        <f t="shared" si="0"/>
        <v>58907.526881720427</v>
      </c>
    </row>
    <row r="97" spans="1:10" ht="21" customHeight="1">
      <c r="A97" s="272" t="s">
        <v>27</v>
      </c>
      <c r="B97" s="273"/>
      <c r="C97" s="18" t="s">
        <v>152</v>
      </c>
      <c r="D97" s="4" t="s">
        <v>1</v>
      </c>
      <c r="E97" s="64">
        <f t="shared" si="7"/>
        <v>114390</v>
      </c>
      <c r="F97" s="61">
        <f>295.2*G2</f>
        <v>91512</v>
      </c>
      <c r="G97" s="16"/>
      <c r="H97" s="19">
        <v>54900</v>
      </c>
      <c r="I97" s="42">
        <f t="shared" si="1"/>
        <v>295.16129032258067</v>
      </c>
      <c r="J97" s="3">
        <f>I97*256</f>
        <v>75561.290322580651</v>
      </c>
    </row>
    <row r="98" spans="1:10" ht="21" customHeight="1">
      <c r="A98" s="272" t="s">
        <v>28</v>
      </c>
      <c r="B98" s="273"/>
      <c r="C98" s="18" t="s">
        <v>153</v>
      </c>
      <c r="D98" s="4" t="s">
        <v>1</v>
      </c>
      <c r="E98" s="64">
        <f t="shared" si="7"/>
        <v>126867.5</v>
      </c>
      <c r="F98" s="61">
        <f>327.4*G2</f>
        <v>101494</v>
      </c>
      <c r="G98" s="16"/>
      <c r="H98" s="19">
        <v>60900</v>
      </c>
      <c r="I98" s="42">
        <f t="shared" si="1"/>
        <v>327.41935483870969</v>
      </c>
      <c r="J98" s="3">
        <f>I98*256</f>
        <v>83819.354838709682</v>
      </c>
    </row>
    <row r="99" spans="1:10" ht="18">
      <c r="A99" s="277" t="s">
        <v>48</v>
      </c>
      <c r="B99" s="278"/>
      <c r="C99" s="278"/>
      <c r="D99" s="278"/>
      <c r="E99" s="278"/>
      <c r="F99" s="278"/>
      <c r="G99" s="279"/>
      <c r="H99" s="46"/>
      <c r="I99" s="42">
        <f>H99/186</f>
        <v>0</v>
      </c>
      <c r="J99" s="3">
        <f>I99*256</f>
        <v>0</v>
      </c>
    </row>
    <row r="100" spans="1:10" ht="23.25" customHeight="1">
      <c r="A100" s="280" t="s">
        <v>186</v>
      </c>
      <c r="B100" s="281"/>
      <c r="C100" s="90" t="s">
        <v>221</v>
      </c>
      <c r="D100" s="91" t="s">
        <v>1</v>
      </c>
      <c r="E100" s="92">
        <f t="shared" ref="E100:E105" si="8">F100/0.8</f>
        <v>8718.75</v>
      </c>
      <c r="F100" s="93">
        <v>6975</v>
      </c>
      <c r="G100" s="94" t="s">
        <v>220</v>
      </c>
      <c r="H100" s="46"/>
      <c r="I100" s="42"/>
    </row>
    <row r="101" spans="1:10" ht="23.25" customHeight="1">
      <c r="A101" s="280" t="s">
        <v>191</v>
      </c>
      <c r="B101" s="281"/>
      <c r="C101" s="90" t="s">
        <v>154</v>
      </c>
      <c r="D101" s="91" t="s">
        <v>1</v>
      </c>
      <c r="E101" s="92">
        <f t="shared" si="8"/>
        <v>9821.25</v>
      </c>
      <c r="F101" s="93">
        <v>7857</v>
      </c>
      <c r="G101" s="94" t="s">
        <v>220</v>
      </c>
      <c r="H101" s="19">
        <v>7500</v>
      </c>
      <c r="I101" s="42">
        <f>H101/186</f>
        <v>40.322580645161288</v>
      </c>
      <c r="J101" s="3">
        <f>I101*256</f>
        <v>10322.58064516129</v>
      </c>
    </row>
    <row r="102" spans="1:10" ht="23.25" customHeight="1">
      <c r="A102" s="280" t="s">
        <v>187</v>
      </c>
      <c r="B102" s="281"/>
      <c r="C102" s="90" t="s">
        <v>192</v>
      </c>
      <c r="D102" s="91" t="s">
        <v>1</v>
      </c>
      <c r="E102" s="92">
        <f t="shared" si="8"/>
        <v>10822.5</v>
      </c>
      <c r="F102" s="93">
        <v>8658</v>
      </c>
      <c r="G102" s="94" t="s">
        <v>220</v>
      </c>
      <c r="H102" s="65"/>
      <c r="I102" s="42"/>
    </row>
    <row r="103" spans="1:10" ht="23.25" customHeight="1">
      <c r="A103" s="280" t="s">
        <v>188</v>
      </c>
      <c r="B103" s="281"/>
      <c r="C103" s="90" t="s">
        <v>198</v>
      </c>
      <c r="D103" s="91" t="s">
        <v>1</v>
      </c>
      <c r="E103" s="92">
        <f t="shared" si="8"/>
        <v>10923.75</v>
      </c>
      <c r="F103" s="93">
        <v>8739</v>
      </c>
      <c r="G103" s="94" t="s">
        <v>220</v>
      </c>
      <c r="H103" s="65"/>
      <c r="I103" s="42"/>
    </row>
    <row r="104" spans="1:10" ht="23.25" customHeight="1">
      <c r="A104" s="280" t="s">
        <v>189</v>
      </c>
      <c r="B104" s="281"/>
      <c r="C104" s="90" t="s">
        <v>193</v>
      </c>
      <c r="D104" s="91" t="s">
        <v>1</v>
      </c>
      <c r="E104" s="92">
        <f t="shared" si="8"/>
        <v>11975</v>
      </c>
      <c r="F104" s="93">
        <v>9580</v>
      </c>
      <c r="G104" s="94" t="s">
        <v>220</v>
      </c>
      <c r="H104" s="65"/>
      <c r="I104" s="42"/>
    </row>
    <row r="105" spans="1:10" ht="23.25" customHeight="1">
      <c r="A105" s="280" t="s">
        <v>190</v>
      </c>
      <c r="B105" s="281"/>
      <c r="C105" s="90" t="s">
        <v>199</v>
      </c>
      <c r="D105" s="91" t="s">
        <v>1</v>
      </c>
      <c r="E105" s="92">
        <f t="shared" si="8"/>
        <v>13628.75</v>
      </c>
      <c r="F105" s="93">
        <v>10903</v>
      </c>
      <c r="G105" s="94" t="s">
        <v>220</v>
      </c>
      <c r="H105" s="65"/>
      <c r="I105" s="42"/>
    </row>
  </sheetData>
  <mergeCells count="107">
    <mergeCell ref="A86:B86"/>
    <mergeCell ref="A98:B98"/>
    <mergeCell ref="A64:G64"/>
    <mergeCell ref="A66:B66"/>
    <mergeCell ref="A97:B97"/>
    <mergeCell ref="A94:B94"/>
    <mergeCell ref="A91:G91"/>
    <mergeCell ref="A65:B65"/>
    <mergeCell ref="A90:B90"/>
    <mergeCell ref="A84:B84"/>
    <mergeCell ref="A82:G82"/>
    <mergeCell ref="A96:B96"/>
    <mergeCell ref="A88:B88"/>
    <mergeCell ref="A18:B18"/>
    <mergeCell ref="A30:B30"/>
    <mergeCell ref="A31:B31"/>
    <mergeCell ref="A28:B28"/>
    <mergeCell ref="A89:G89"/>
    <mergeCell ref="A75:G75"/>
    <mergeCell ref="A95:B95"/>
    <mergeCell ref="A92:B92"/>
    <mergeCell ref="A15:B15"/>
    <mergeCell ref="A8:B8"/>
    <mergeCell ref="A85:B85"/>
    <mergeCell ref="A19:B19"/>
    <mergeCell ref="A20:B20"/>
    <mergeCell ref="A23:B23"/>
    <mergeCell ref="A29:B29"/>
    <mergeCell ref="A27:B27"/>
    <mergeCell ref="A24:B24"/>
    <mergeCell ref="A25:B25"/>
    <mergeCell ref="A9:G9"/>
    <mergeCell ref="A10:B10"/>
    <mergeCell ref="A11:G11"/>
    <mergeCell ref="A12:B12"/>
    <mergeCell ref="A13:B13"/>
    <mergeCell ref="A14:B14"/>
    <mergeCell ref="A17:B17"/>
    <mergeCell ref="A36:B36"/>
    <mergeCell ref="A39:B39"/>
    <mergeCell ref="A87:B87"/>
    <mergeCell ref="A80:B80"/>
    <mergeCell ref="A1:F1"/>
    <mergeCell ref="D4:F4"/>
    <mergeCell ref="A5:B5"/>
    <mergeCell ref="A16:G16"/>
    <mergeCell ref="A6:J6"/>
    <mergeCell ref="A7:B7"/>
    <mergeCell ref="A38:B38"/>
    <mergeCell ref="A35:B35"/>
    <mergeCell ref="A34:B34"/>
    <mergeCell ref="A104:B104"/>
    <mergeCell ref="A26:B26"/>
    <mergeCell ref="A21:B21"/>
    <mergeCell ref="A22:B22"/>
    <mergeCell ref="A58:B58"/>
    <mergeCell ref="A46:B46"/>
    <mergeCell ref="A47:B47"/>
    <mergeCell ref="A41:B41"/>
    <mergeCell ref="C43:C44"/>
    <mergeCell ref="A73:B73"/>
    <mergeCell ref="A100:B100"/>
    <mergeCell ref="A102:B102"/>
    <mergeCell ref="A103:B103"/>
    <mergeCell ref="A79:B79"/>
    <mergeCell ref="A57:B57"/>
    <mergeCell ref="A59:B59"/>
    <mergeCell ref="A53:B53"/>
    <mergeCell ref="A105:B105"/>
    <mergeCell ref="A32:B32"/>
    <mergeCell ref="A33:B33"/>
    <mergeCell ref="A37:B37"/>
    <mergeCell ref="A70:G70"/>
    <mergeCell ref="A71:B71"/>
    <mergeCell ref="A55:G55"/>
    <mergeCell ref="A56:G56"/>
    <mergeCell ref="A40:G40"/>
    <mergeCell ref="A45:B45"/>
    <mergeCell ref="A62:B62"/>
    <mergeCell ref="A78:B78"/>
    <mergeCell ref="A81:B81"/>
    <mergeCell ref="A61:B61"/>
    <mergeCell ref="A72:G72"/>
    <mergeCell ref="A74:B74"/>
    <mergeCell ref="A77:B77"/>
    <mergeCell ref="A63:G63"/>
    <mergeCell ref="A76:B76"/>
    <mergeCell ref="A99:G99"/>
    <mergeCell ref="A101:B101"/>
    <mergeCell ref="A52:B52"/>
    <mergeCell ref="A93:B93"/>
    <mergeCell ref="A83:B83"/>
    <mergeCell ref="A43:B43"/>
    <mergeCell ref="A44:B44"/>
    <mergeCell ref="C50:C51"/>
    <mergeCell ref="A48:B48"/>
    <mergeCell ref="A49:B49"/>
    <mergeCell ref="A42:G42"/>
    <mergeCell ref="G43:G44"/>
    <mergeCell ref="A67:G67"/>
    <mergeCell ref="A68:B68"/>
    <mergeCell ref="A69:B69"/>
    <mergeCell ref="A60:B60"/>
    <mergeCell ref="C47:C48"/>
    <mergeCell ref="A50:B50"/>
    <mergeCell ref="A51:B51"/>
    <mergeCell ref="A54:B54"/>
  </mergeCells>
  <hyperlinks>
    <hyperlink ref="B4" r:id="rId1" display="www.almacom.info  E-mail:almacom@inbox,ru"/>
  </hyperlinks>
  <pageMargins left="0.59055118110236227" right="0.43307086614173229" top="0.39370078740157483" bottom="0.11811023622047245" header="0.19685039370078741" footer="0.15748031496062992"/>
  <pageSetup paperSize="9" scale="56" orientation="portrait" horizontalDpi="300" verticalDpi="1200" r:id="rId2"/>
  <rowBreaks count="2" manualBreakCount="2">
    <brk id="28" max="6" man="1"/>
    <brk id="54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5"/>
  <sheetViews>
    <sheetView view="pageBreakPreview" zoomScaleSheetLayoutView="100" zoomScalePageLayoutView="90" workbookViewId="0">
      <selection activeCell="A54" sqref="A54:B54"/>
    </sheetView>
  </sheetViews>
  <sheetFormatPr defaultColWidth="9.28515625" defaultRowHeight="12.75"/>
  <cols>
    <col min="1" max="1" width="3.5703125" style="3" customWidth="1"/>
    <col min="2" max="2" width="30.5703125" style="3" customWidth="1"/>
    <col min="3" max="3" width="59.28515625" style="3" customWidth="1"/>
    <col min="4" max="4" width="12.28515625" style="9" customWidth="1"/>
    <col min="5" max="5" width="15.42578125" style="3" customWidth="1"/>
    <col min="6" max="6" width="21.7109375" style="3" customWidth="1"/>
    <col min="7" max="7" width="13.5703125" style="28" customWidth="1"/>
    <col min="8" max="8" width="13.5703125" style="28" hidden="1" customWidth="1"/>
    <col min="9" max="9" width="15" style="3" hidden="1" customWidth="1"/>
    <col min="10" max="10" width="9.28515625" style="3" hidden="1" customWidth="1"/>
    <col min="11" max="11" width="10" style="3" customWidth="1"/>
    <col min="12" max="16384" width="9.28515625" style="3"/>
  </cols>
  <sheetData>
    <row r="1" spans="1:10" ht="42" customHeight="1">
      <c r="A1" s="300" t="s">
        <v>6</v>
      </c>
      <c r="B1" s="300"/>
      <c r="C1" s="300"/>
      <c r="D1" s="300"/>
      <c r="E1" s="300"/>
      <c r="F1" s="300"/>
      <c r="G1" s="71">
        <v>42409</v>
      </c>
      <c r="H1" s="26"/>
      <c r="I1" s="12"/>
      <c r="J1" s="12"/>
    </row>
    <row r="2" spans="1:10" ht="15.75">
      <c r="B2" s="14"/>
      <c r="C2" s="14" t="s">
        <v>11</v>
      </c>
      <c r="D2" s="10"/>
      <c r="E2" s="14"/>
      <c r="F2" s="14"/>
      <c r="G2" s="86">
        <v>360</v>
      </c>
      <c r="H2" s="24"/>
      <c r="I2" s="14"/>
      <c r="J2" s="14"/>
    </row>
    <row r="3" spans="1:10" ht="15.75">
      <c r="B3" s="13"/>
      <c r="C3" s="13" t="s">
        <v>84</v>
      </c>
      <c r="D3" s="10"/>
      <c r="E3" s="13"/>
      <c r="F3" s="13"/>
      <c r="G3" s="24"/>
      <c r="H3" s="24"/>
      <c r="I3" s="13"/>
      <c r="J3" s="13"/>
    </row>
    <row r="4" spans="1:10" ht="18.75">
      <c r="B4" s="8" t="s">
        <v>60</v>
      </c>
      <c r="C4" s="7"/>
      <c r="D4" s="301" t="s">
        <v>32</v>
      </c>
      <c r="E4" s="301"/>
      <c r="F4" s="301"/>
      <c r="G4" s="27"/>
      <c r="H4" s="27"/>
      <c r="I4" s="6"/>
      <c r="J4" s="5"/>
    </row>
    <row r="5" spans="1:10" ht="27" customHeight="1">
      <c r="A5" s="302" t="s">
        <v>2</v>
      </c>
      <c r="B5" s="302"/>
      <c r="C5" s="15" t="s">
        <v>0</v>
      </c>
      <c r="D5" s="15" t="s">
        <v>5</v>
      </c>
      <c r="E5" s="15" t="s">
        <v>18</v>
      </c>
      <c r="F5" s="15" t="s">
        <v>19</v>
      </c>
      <c r="G5" s="23" t="s">
        <v>106</v>
      </c>
      <c r="H5" s="45"/>
    </row>
    <row r="6" spans="1:10" ht="31.5" customHeight="1">
      <c r="A6" s="266" t="s">
        <v>34</v>
      </c>
      <c r="B6" s="267"/>
      <c r="C6" s="267"/>
      <c r="D6" s="267"/>
      <c r="E6" s="267"/>
      <c r="F6" s="267"/>
      <c r="G6" s="267"/>
      <c r="H6" s="267"/>
      <c r="I6" s="267"/>
      <c r="J6" s="268"/>
    </row>
    <row r="7" spans="1:10" ht="93" customHeight="1">
      <c r="A7" s="303" t="s">
        <v>204</v>
      </c>
      <c r="B7" s="304"/>
      <c r="C7" s="78" t="s">
        <v>208</v>
      </c>
      <c r="D7" s="79" t="s">
        <v>1</v>
      </c>
      <c r="E7" s="80">
        <f>F7/0.8</f>
        <v>9571.5</v>
      </c>
      <c r="F7" s="85">
        <f>21.27*G2</f>
        <v>7657.2</v>
      </c>
      <c r="G7" s="72"/>
      <c r="H7" s="19">
        <v>4600</v>
      </c>
      <c r="I7" s="42">
        <f>H7/186</f>
        <v>24.731182795698924</v>
      </c>
      <c r="J7" s="3">
        <f>I7*256</f>
        <v>6331.1827956989246</v>
      </c>
    </row>
    <row r="8" spans="1:10" ht="93" customHeight="1">
      <c r="A8" s="303" t="s">
        <v>205</v>
      </c>
      <c r="B8" s="304"/>
      <c r="C8" s="78" t="s">
        <v>209</v>
      </c>
      <c r="D8" s="79" t="s">
        <v>1</v>
      </c>
      <c r="E8" s="17">
        <f>F8/0.8</f>
        <v>17585.999999999996</v>
      </c>
      <c r="F8" s="85">
        <f>39.08*G2</f>
        <v>14068.8</v>
      </c>
      <c r="G8" s="16"/>
      <c r="H8" s="65"/>
      <c r="I8" s="42"/>
    </row>
    <row r="9" spans="1:10" ht="27.75" customHeight="1">
      <c r="A9" s="266" t="s">
        <v>94</v>
      </c>
      <c r="B9" s="267"/>
      <c r="C9" s="267"/>
      <c r="D9" s="267"/>
      <c r="E9" s="267"/>
      <c r="F9" s="267"/>
      <c r="G9" s="268"/>
      <c r="H9" s="46"/>
      <c r="I9" s="42"/>
      <c r="J9" s="3">
        <f t="shared" ref="J9:J96" si="0">I9*256</f>
        <v>0</v>
      </c>
    </row>
    <row r="10" spans="1:10" ht="96" customHeight="1">
      <c r="A10" s="305" t="s">
        <v>96</v>
      </c>
      <c r="B10" s="306"/>
      <c r="C10" s="1" t="s">
        <v>101</v>
      </c>
      <c r="D10" s="2" t="s">
        <v>1</v>
      </c>
      <c r="E10" s="17">
        <f>F10/0.8</f>
        <v>58126.499999999993</v>
      </c>
      <c r="F10" s="19">
        <f>129.17*G2</f>
        <v>46501.2</v>
      </c>
      <c r="G10" s="16"/>
      <c r="H10" s="19">
        <v>27900</v>
      </c>
      <c r="I10" s="42">
        <f>H10/186</f>
        <v>150</v>
      </c>
      <c r="J10" s="3">
        <f>I10*256</f>
        <v>38400</v>
      </c>
    </row>
    <row r="11" spans="1:10" ht="27.75" customHeight="1">
      <c r="A11" s="266" t="s">
        <v>95</v>
      </c>
      <c r="B11" s="267"/>
      <c r="C11" s="267"/>
      <c r="D11" s="267"/>
      <c r="E11" s="267"/>
      <c r="F11" s="267"/>
      <c r="G11" s="268"/>
      <c r="H11" s="46"/>
      <c r="I11" s="42">
        <f t="shared" ref="I11:I98" si="1">H11/186</f>
        <v>0</v>
      </c>
      <c r="J11" s="3">
        <f t="shared" si="0"/>
        <v>0</v>
      </c>
    </row>
    <row r="12" spans="1:10" ht="84">
      <c r="A12" s="272" t="s">
        <v>97</v>
      </c>
      <c r="B12" s="289"/>
      <c r="C12" s="1" t="s">
        <v>102</v>
      </c>
      <c r="D12" s="2" t="s">
        <v>1</v>
      </c>
      <c r="E12" s="17">
        <f>F12/0.8</f>
        <v>80212.5</v>
      </c>
      <c r="F12" s="19">
        <f>178.25*G2</f>
        <v>64170</v>
      </c>
      <c r="G12" s="91"/>
      <c r="H12" s="19">
        <v>38500</v>
      </c>
      <c r="I12" s="42">
        <f>H12/186</f>
        <v>206.98924731182797</v>
      </c>
      <c r="J12" s="3">
        <f t="shared" si="0"/>
        <v>52989.247311827959</v>
      </c>
    </row>
    <row r="13" spans="1:10" ht="84">
      <c r="A13" s="272" t="s">
        <v>98</v>
      </c>
      <c r="B13" s="289"/>
      <c r="C13" s="1" t="s">
        <v>103</v>
      </c>
      <c r="D13" s="2" t="s">
        <v>1</v>
      </c>
      <c r="E13" s="17">
        <f>F13/0.8</f>
        <v>89162.999999999985</v>
      </c>
      <c r="F13" s="19">
        <f>198.14*G2</f>
        <v>71330.399999999994</v>
      </c>
      <c r="G13" s="91"/>
      <c r="H13" s="19">
        <v>42800</v>
      </c>
      <c r="I13" s="42">
        <f>H13/186</f>
        <v>230.10752688172042</v>
      </c>
      <c r="J13" s="3">
        <f t="shared" si="0"/>
        <v>58907.526881720427</v>
      </c>
    </row>
    <row r="14" spans="1:10" ht="84">
      <c r="A14" s="272" t="s">
        <v>99</v>
      </c>
      <c r="B14" s="289"/>
      <c r="C14" s="1" t="s">
        <v>104</v>
      </c>
      <c r="D14" s="2" t="s">
        <v>1</v>
      </c>
      <c r="E14" s="17">
        <f>F14/0.8</f>
        <v>95211</v>
      </c>
      <c r="F14" s="19">
        <f>211.58*G2</f>
        <v>76168.800000000003</v>
      </c>
      <c r="G14" s="91"/>
      <c r="H14" s="19">
        <v>45700</v>
      </c>
      <c r="I14" s="42">
        <f>H14/186</f>
        <v>245.69892473118279</v>
      </c>
      <c r="J14" s="3">
        <f t="shared" si="0"/>
        <v>62898.924731182793</v>
      </c>
    </row>
    <row r="15" spans="1:10" ht="84">
      <c r="A15" s="272" t="s">
        <v>100</v>
      </c>
      <c r="B15" s="289"/>
      <c r="C15" s="1" t="s">
        <v>105</v>
      </c>
      <c r="D15" s="2" t="s">
        <v>1</v>
      </c>
      <c r="E15" s="17">
        <f>F15/0.8</f>
        <v>98347.5</v>
      </c>
      <c r="F15" s="19">
        <f>218.55*G2</f>
        <v>78678</v>
      </c>
      <c r="G15" s="91"/>
      <c r="H15" s="19">
        <v>47200</v>
      </c>
      <c r="I15" s="42">
        <f t="shared" si="1"/>
        <v>253.76344086021504</v>
      </c>
      <c r="J15" s="3">
        <f t="shared" si="0"/>
        <v>64963.440860215051</v>
      </c>
    </row>
    <row r="16" spans="1:10" ht="27.75" customHeight="1">
      <c r="A16" s="266" t="s">
        <v>36</v>
      </c>
      <c r="B16" s="267"/>
      <c r="C16" s="267"/>
      <c r="D16" s="267"/>
      <c r="E16" s="267"/>
      <c r="F16" s="267"/>
      <c r="G16" s="268"/>
      <c r="H16" s="46"/>
      <c r="I16" s="42">
        <f t="shared" si="1"/>
        <v>0</v>
      </c>
      <c r="J16" s="3">
        <f t="shared" si="0"/>
        <v>0</v>
      </c>
    </row>
    <row r="17" spans="1:10" ht="60">
      <c r="A17" s="272" t="s">
        <v>121</v>
      </c>
      <c r="B17" s="273"/>
      <c r="C17" s="1" t="s">
        <v>122</v>
      </c>
      <c r="D17" s="2" t="s">
        <v>1</v>
      </c>
      <c r="E17" s="17">
        <f t="shared" ref="E17:E39" si="2">F17/0.8</f>
        <v>52488</v>
      </c>
      <c r="F17" s="61">
        <f>116.64*G2</f>
        <v>41990.400000000001</v>
      </c>
      <c r="G17" s="16"/>
      <c r="H17" s="19">
        <v>24000</v>
      </c>
      <c r="I17" s="42">
        <f t="shared" si="1"/>
        <v>129.03225806451613</v>
      </c>
      <c r="J17" s="3">
        <f t="shared" si="0"/>
        <v>33032.258064516129</v>
      </c>
    </row>
    <row r="18" spans="1:10" ht="60">
      <c r="A18" s="272" t="s">
        <v>125</v>
      </c>
      <c r="B18" s="273"/>
      <c r="C18" s="1" t="s">
        <v>132</v>
      </c>
      <c r="D18" s="2" t="s">
        <v>1</v>
      </c>
      <c r="E18" s="17">
        <f t="shared" si="2"/>
        <v>52488</v>
      </c>
      <c r="F18" s="61">
        <f>116.64*G2</f>
        <v>41990.400000000001</v>
      </c>
      <c r="G18" s="16"/>
      <c r="H18" s="19"/>
      <c r="I18" s="42"/>
    </row>
    <row r="19" spans="1:10" ht="60">
      <c r="A19" s="272" t="s">
        <v>87</v>
      </c>
      <c r="B19" s="273"/>
      <c r="C19" s="1" t="s">
        <v>93</v>
      </c>
      <c r="D19" s="2" t="s">
        <v>1</v>
      </c>
      <c r="E19" s="17">
        <f t="shared" si="2"/>
        <v>52488</v>
      </c>
      <c r="F19" s="61">
        <f>116.64*G2</f>
        <v>41990.400000000001</v>
      </c>
      <c r="G19" s="16"/>
      <c r="H19" s="19">
        <v>24000</v>
      </c>
      <c r="I19" s="42">
        <f t="shared" si="1"/>
        <v>129.03225806451613</v>
      </c>
      <c r="J19" s="3">
        <f t="shared" si="0"/>
        <v>33032.258064516129</v>
      </c>
    </row>
    <row r="20" spans="1:10" ht="75">
      <c r="A20" s="272" t="s">
        <v>88</v>
      </c>
      <c r="B20" s="273"/>
      <c r="C20" s="57" t="s">
        <v>107</v>
      </c>
      <c r="D20" s="2" t="s">
        <v>1</v>
      </c>
      <c r="E20" s="17">
        <f t="shared" si="2"/>
        <v>52488</v>
      </c>
      <c r="F20" s="61">
        <f>116.64*G2</f>
        <v>41990.400000000001</v>
      </c>
      <c r="G20" s="16"/>
      <c r="H20" s="19">
        <v>24000</v>
      </c>
      <c r="I20" s="42">
        <f t="shared" si="1"/>
        <v>129.03225806451613</v>
      </c>
      <c r="J20" s="3">
        <f t="shared" si="0"/>
        <v>33032.258064516129</v>
      </c>
    </row>
    <row r="21" spans="1:10" ht="48">
      <c r="A21" s="272" t="s">
        <v>215</v>
      </c>
      <c r="B21" s="273"/>
      <c r="C21" s="1" t="s">
        <v>217</v>
      </c>
      <c r="D21" s="2" t="s">
        <v>1</v>
      </c>
      <c r="E21" s="17">
        <f t="shared" si="2"/>
        <v>50508</v>
      </c>
      <c r="F21" s="61">
        <f>112.24*G2</f>
        <v>40406.400000000001</v>
      </c>
      <c r="G21" s="16"/>
      <c r="H21" s="19"/>
      <c r="I21" s="42"/>
    </row>
    <row r="22" spans="1:10" ht="48">
      <c r="A22" s="272" t="s">
        <v>216</v>
      </c>
      <c r="B22" s="273"/>
      <c r="C22" s="1" t="s">
        <v>218</v>
      </c>
      <c r="D22" s="2" t="s">
        <v>1</v>
      </c>
      <c r="E22" s="17">
        <f t="shared" si="2"/>
        <v>51210</v>
      </c>
      <c r="F22" s="61">
        <f>113.8*G2</f>
        <v>40968</v>
      </c>
      <c r="G22" s="16"/>
      <c r="H22" s="19"/>
      <c r="I22" s="42"/>
    </row>
    <row r="23" spans="1:10" ht="42" customHeight="1">
      <c r="A23" s="272" t="s">
        <v>10</v>
      </c>
      <c r="B23" s="273"/>
      <c r="C23" s="1" t="s">
        <v>55</v>
      </c>
      <c r="D23" s="2" t="s">
        <v>1</v>
      </c>
      <c r="E23" s="17">
        <f t="shared" si="2"/>
        <v>42511.499999999993</v>
      </c>
      <c r="F23" s="61">
        <f>94.47*G2</f>
        <v>34009.199999999997</v>
      </c>
      <c r="G23" s="16"/>
      <c r="H23" s="19">
        <v>19449.05</v>
      </c>
      <c r="I23" s="42">
        <f t="shared" si="1"/>
        <v>104.56478494623656</v>
      </c>
      <c r="J23" s="3">
        <f t="shared" si="0"/>
        <v>26768.584946236559</v>
      </c>
    </row>
    <row r="24" spans="1:10" ht="42" customHeight="1">
      <c r="A24" s="272" t="s">
        <v>210</v>
      </c>
      <c r="B24" s="289"/>
      <c r="C24" s="1" t="s">
        <v>55</v>
      </c>
      <c r="D24" s="2" t="s">
        <v>1</v>
      </c>
      <c r="E24" s="17">
        <f t="shared" si="2"/>
        <v>42511.499999999993</v>
      </c>
      <c r="F24" s="61">
        <f>94.47*G2</f>
        <v>34009.199999999997</v>
      </c>
      <c r="G24" s="16"/>
      <c r="H24" s="19"/>
      <c r="I24" s="42"/>
    </row>
    <row r="25" spans="1:10" ht="42" customHeight="1">
      <c r="A25" s="272" t="s">
        <v>211</v>
      </c>
      <c r="B25" s="289"/>
      <c r="C25" s="1" t="s">
        <v>55</v>
      </c>
      <c r="D25" s="2" t="s">
        <v>1</v>
      </c>
      <c r="E25" s="17">
        <f t="shared" si="2"/>
        <v>42934.499999999993</v>
      </c>
      <c r="F25" s="61">
        <f>95.41*G2</f>
        <v>34347.599999999999</v>
      </c>
      <c r="G25" s="16"/>
      <c r="H25" s="19"/>
      <c r="I25" s="42"/>
    </row>
    <row r="26" spans="1:10" ht="42" customHeight="1">
      <c r="A26" s="272" t="s">
        <v>212</v>
      </c>
      <c r="B26" s="289"/>
      <c r="C26" s="1" t="s">
        <v>55</v>
      </c>
      <c r="D26" s="2" t="s">
        <v>1</v>
      </c>
      <c r="E26" s="17">
        <f t="shared" si="2"/>
        <v>42934.499999999993</v>
      </c>
      <c r="F26" s="61">
        <f>95.41*G2</f>
        <v>34347.599999999999</v>
      </c>
      <c r="G26" s="16"/>
      <c r="H26" s="19"/>
      <c r="I26" s="42"/>
    </row>
    <row r="27" spans="1:10" ht="42" customHeight="1">
      <c r="A27" s="272" t="s">
        <v>213</v>
      </c>
      <c r="B27" s="273"/>
      <c r="C27" s="1" t="s">
        <v>214</v>
      </c>
      <c r="D27" s="2" t="s">
        <v>1</v>
      </c>
      <c r="E27" s="17">
        <f t="shared" si="2"/>
        <v>67500</v>
      </c>
      <c r="F27" s="61">
        <f>150*G2</f>
        <v>54000</v>
      </c>
      <c r="G27" s="16"/>
      <c r="H27" s="19"/>
      <c r="I27" s="42"/>
    </row>
    <row r="28" spans="1:10" ht="33" customHeight="1">
      <c r="A28" s="272" t="s">
        <v>54</v>
      </c>
      <c r="B28" s="289"/>
      <c r="C28" s="1" t="s">
        <v>109</v>
      </c>
      <c r="D28" s="2" t="s">
        <v>1</v>
      </c>
      <c r="E28" s="17">
        <f t="shared" si="2"/>
        <v>26446.5</v>
      </c>
      <c r="F28" s="61">
        <f>58.77*G2</f>
        <v>21157.200000000001</v>
      </c>
      <c r="G28" s="16"/>
      <c r="H28" s="19"/>
      <c r="I28" s="42"/>
    </row>
    <row r="29" spans="1:10" ht="33.75" customHeight="1">
      <c r="A29" s="272" t="s">
        <v>53</v>
      </c>
      <c r="B29" s="289"/>
      <c r="C29" s="1" t="s">
        <v>109</v>
      </c>
      <c r="D29" s="2" t="s">
        <v>1</v>
      </c>
      <c r="E29" s="17">
        <f t="shared" si="2"/>
        <v>29538</v>
      </c>
      <c r="F29" s="61">
        <f>65.64*G2</f>
        <v>23630.400000000001</v>
      </c>
      <c r="G29" s="16"/>
      <c r="H29" s="19">
        <v>13500</v>
      </c>
      <c r="I29" s="42">
        <f t="shared" si="1"/>
        <v>72.58064516129032</v>
      </c>
      <c r="J29" s="3">
        <f t="shared" si="0"/>
        <v>18580.645161290322</v>
      </c>
    </row>
    <row r="30" spans="1:10" ht="39.75" customHeight="1">
      <c r="A30" s="272" t="s">
        <v>126</v>
      </c>
      <c r="B30" s="289"/>
      <c r="C30" s="1" t="s">
        <v>134</v>
      </c>
      <c r="D30" s="2" t="s">
        <v>1</v>
      </c>
      <c r="E30" s="17">
        <f t="shared" si="2"/>
        <v>29897.999999999996</v>
      </c>
      <c r="F30" s="61">
        <f>66.44*G2</f>
        <v>23918.399999999998</v>
      </c>
      <c r="G30" s="16"/>
      <c r="H30" s="19"/>
      <c r="I30" s="42"/>
    </row>
    <row r="31" spans="1:10" ht="40.5" customHeight="1">
      <c r="A31" s="272" t="s">
        <v>127</v>
      </c>
      <c r="B31" s="289"/>
      <c r="C31" s="1" t="s">
        <v>133</v>
      </c>
      <c r="D31" s="2" t="s">
        <v>1</v>
      </c>
      <c r="E31" s="17">
        <f t="shared" si="2"/>
        <v>29897.999999999996</v>
      </c>
      <c r="F31" s="61">
        <f>66.44*G2</f>
        <v>23918.399999999998</v>
      </c>
      <c r="G31" s="16"/>
      <c r="H31" s="19"/>
      <c r="I31" s="42"/>
    </row>
    <row r="32" spans="1:10" ht="40.5" customHeight="1">
      <c r="A32" s="272" t="s">
        <v>128</v>
      </c>
      <c r="B32" s="289"/>
      <c r="C32" s="1" t="s">
        <v>135</v>
      </c>
      <c r="D32" s="2" t="s">
        <v>1</v>
      </c>
      <c r="E32" s="17">
        <f t="shared" si="2"/>
        <v>29897.999999999996</v>
      </c>
      <c r="F32" s="61">
        <f>66.44*G2</f>
        <v>23918.399999999998</v>
      </c>
      <c r="G32" s="16"/>
      <c r="H32" s="19"/>
      <c r="I32" s="42"/>
    </row>
    <row r="33" spans="1:10" ht="34.5" customHeight="1">
      <c r="A33" s="272" t="s">
        <v>129</v>
      </c>
      <c r="B33" s="289"/>
      <c r="C33" s="1" t="s">
        <v>136</v>
      </c>
      <c r="D33" s="2" t="s">
        <v>1</v>
      </c>
      <c r="E33" s="17">
        <f t="shared" si="2"/>
        <v>29897.999999999996</v>
      </c>
      <c r="F33" s="61">
        <f>66.44*G2</f>
        <v>23918.399999999998</v>
      </c>
      <c r="G33" s="16"/>
      <c r="H33" s="19"/>
      <c r="I33" s="42"/>
    </row>
    <row r="34" spans="1:10" ht="28.5" customHeight="1">
      <c r="A34" s="272" t="s">
        <v>86</v>
      </c>
      <c r="B34" s="289"/>
      <c r="C34" s="1" t="s">
        <v>56</v>
      </c>
      <c r="D34" s="2" t="s">
        <v>1</v>
      </c>
      <c r="E34" s="17">
        <f t="shared" si="2"/>
        <v>26919</v>
      </c>
      <c r="F34" s="61">
        <f>59.82*G2</f>
        <v>21535.200000000001</v>
      </c>
      <c r="G34" s="16"/>
      <c r="H34" s="19"/>
      <c r="I34" s="42"/>
    </row>
    <row r="35" spans="1:10" ht="31.5" customHeight="1">
      <c r="A35" s="272" t="s">
        <v>131</v>
      </c>
      <c r="B35" s="289"/>
      <c r="C35" s="1" t="s">
        <v>56</v>
      </c>
      <c r="D35" s="2" t="s">
        <v>1</v>
      </c>
      <c r="E35" s="17">
        <f t="shared" si="2"/>
        <v>28741.5</v>
      </c>
      <c r="F35" s="61">
        <f>63.87*G2</f>
        <v>22993.200000000001</v>
      </c>
      <c r="G35" s="16"/>
      <c r="H35" s="19"/>
      <c r="I35" s="42"/>
    </row>
    <row r="36" spans="1:10" ht="30" customHeight="1">
      <c r="A36" s="272" t="s">
        <v>110</v>
      </c>
      <c r="B36" s="273"/>
      <c r="C36" s="1" t="s">
        <v>42</v>
      </c>
      <c r="D36" s="2" t="s">
        <v>1</v>
      </c>
      <c r="E36" s="17">
        <f t="shared" si="2"/>
        <v>23840.999999999996</v>
      </c>
      <c r="F36" s="61">
        <f>52.98*G2</f>
        <v>19072.8</v>
      </c>
      <c r="G36" s="39"/>
      <c r="H36" s="19">
        <v>10900</v>
      </c>
      <c r="I36" s="42">
        <f t="shared" si="1"/>
        <v>58.602150537634408</v>
      </c>
      <c r="J36" s="3">
        <f t="shared" si="0"/>
        <v>15002.150537634408</v>
      </c>
    </row>
    <row r="37" spans="1:10" ht="31.5" customHeight="1">
      <c r="A37" s="272" t="s">
        <v>130</v>
      </c>
      <c r="B37" s="273"/>
      <c r="C37" s="1" t="s">
        <v>43</v>
      </c>
      <c r="D37" s="2"/>
      <c r="E37" s="17">
        <f t="shared" si="2"/>
        <v>23840.999999999996</v>
      </c>
      <c r="F37" s="61">
        <f>52.98*G2</f>
        <v>19072.8</v>
      </c>
      <c r="G37" s="39"/>
      <c r="H37" s="19"/>
      <c r="I37" s="42"/>
    </row>
    <row r="38" spans="1:10" ht="30" customHeight="1">
      <c r="A38" s="298" t="s">
        <v>85</v>
      </c>
      <c r="B38" s="299"/>
      <c r="C38" s="1" t="s">
        <v>43</v>
      </c>
      <c r="D38" s="2" t="s">
        <v>1</v>
      </c>
      <c r="E38" s="17">
        <f t="shared" si="2"/>
        <v>9072</v>
      </c>
      <c r="F38" s="61">
        <f>20.16*G2</f>
        <v>7257.6</v>
      </c>
      <c r="G38" s="39"/>
      <c r="H38" s="19">
        <v>4149.55</v>
      </c>
      <c r="I38" s="42">
        <f t="shared" si="1"/>
        <v>22.309408602150537</v>
      </c>
      <c r="J38" s="3">
        <f t="shared" si="0"/>
        <v>5711.2086021505374</v>
      </c>
    </row>
    <row r="39" spans="1:10" ht="36.75" customHeight="1">
      <c r="A39" s="272" t="s">
        <v>57</v>
      </c>
      <c r="B39" s="289"/>
      <c r="C39" s="1" t="s">
        <v>58</v>
      </c>
      <c r="D39" s="2" t="s">
        <v>1</v>
      </c>
      <c r="E39" s="17">
        <f t="shared" si="2"/>
        <v>3294</v>
      </c>
      <c r="F39" s="61">
        <f>7.32*G2</f>
        <v>2635.2000000000003</v>
      </c>
      <c r="G39" s="22"/>
      <c r="H39" s="19">
        <v>1500</v>
      </c>
      <c r="I39" s="42">
        <f t="shared" si="1"/>
        <v>8.064516129032258</v>
      </c>
      <c r="J39" s="3">
        <f t="shared" si="0"/>
        <v>2064.516129032258</v>
      </c>
    </row>
    <row r="40" spans="1:10" ht="26.25" customHeight="1">
      <c r="A40" s="266" t="s">
        <v>37</v>
      </c>
      <c r="B40" s="267"/>
      <c r="C40" s="267"/>
      <c r="D40" s="267"/>
      <c r="E40" s="267"/>
      <c r="F40" s="267"/>
      <c r="G40" s="268"/>
      <c r="H40" s="46"/>
      <c r="I40" s="42">
        <f t="shared" si="1"/>
        <v>0</v>
      </c>
      <c r="J40" s="3">
        <f t="shared" si="0"/>
        <v>0</v>
      </c>
    </row>
    <row r="41" spans="1:10" ht="47.25" customHeight="1">
      <c r="A41" s="296" t="s">
        <v>38</v>
      </c>
      <c r="B41" s="297"/>
      <c r="C41" s="18" t="s">
        <v>108</v>
      </c>
      <c r="D41" s="2" t="s">
        <v>1</v>
      </c>
      <c r="E41" s="17">
        <f>F41/0.8</f>
        <v>5192.9999999999991</v>
      </c>
      <c r="F41" s="61">
        <f>11.54*G2</f>
        <v>4154.3999999999996</v>
      </c>
      <c r="G41" s="16"/>
      <c r="H41" s="19">
        <v>2500</v>
      </c>
      <c r="I41" s="42">
        <f t="shared" si="1"/>
        <v>13.440860215053764</v>
      </c>
      <c r="J41" s="3">
        <f t="shared" si="0"/>
        <v>3440.8602150537636</v>
      </c>
    </row>
    <row r="42" spans="1:10" ht="28.5" customHeight="1">
      <c r="A42" s="266" t="s">
        <v>35</v>
      </c>
      <c r="B42" s="267"/>
      <c r="C42" s="267"/>
      <c r="D42" s="267"/>
      <c r="E42" s="267"/>
      <c r="F42" s="267"/>
      <c r="G42" s="268"/>
      <c r="H42" s="46"/>
      <c r="I42" s="42">
        <f t="shared" si="1"/>
        <v>0</v>
      </c>
      <c r="J42" s="3">
        <f t="shared" si="0"/>
        <v>0</v>
      </c>
    </row>
    <row r="43" spans="1:10" ht="56.25" customHeight="1">
      <c r="A43" s="272" t="s">
        <v>172</v>
      </c>
      <c r="B43" s="273"/>
      <c r="C43" s="284" t="s">
        <v>168</v>
      </c>
      <c r="D43" s="2" t="s">
        <v>1</v>
      </c>
      <c r="E43" s="17">
        <f t="shared" ref="E43:E54" si="3">F43/0.8</f>
        <v>49725</v>
      </c>
      <c r="F43" s="61">
        <f>110.5*G2</f>
        <v>39780</v>
      </c>
      <c r="G43" s="269"/>
      <c r="H43" s="19">
        <v>23900</v>
      </c>
      <c r="I43" s="42">
        <f t="shared" si="1"/>
        <v>128.49462365591398</v>
      </c>
      <c r="J43" s="3">
        <f t="shared" si="0"/>
        <v>32894.62365591398</v>
      </c>
    </row>
    <row r="44" spans="1:10" ht="56.25" customHeight="1">
      <c r="A44" s="272" t="s">
        <v>173</v>
      </c>
      <c r="B44" s="273"/>
      <c r="C44" s="285"/>
      <c r="D44" s="2" t="s">
        <v>1</v>
      </c>
      <c r="E44" s="17">
        <f t="shared" si="3"/>
        <v>49725</v>
      </c>
      <c r="F44" s="61">
        <f>110.5*G2</f>
        <v>39780</v>
      </c>
      <c r="G44" s="270"/>
      <c r="H44" s="19">
        <v>23900</v>
      </c>
      <c r="I44" s="42">
        <f t="shared" si="1"/>
        <v>128.49462365591398</v>
      </c>
      <c r="J44" s="3">
        <f t="shared" si="0"/>
        <v>32894.62365591398</v>
      </c>
    </row>
    <row r="45" spans="1:10" ht="101.25">
      <c r="A45" s="272" t="s">
        <v>174</v>
      </c>
      <c r="B45" s="273"/>
      <c r="C45" s="53" t="s">
        <v>163</v>
      </c>
      <c r="D45" s="2" t="s">
        <v>1</v>
      </c>
      <c r="E45" s="17">
        <f t="shared" si="3"/>
        <v>49923</v>
      </c>
      <c r="F45" s="61">
        <f>110.94*G2</f>
        <v>39938.400000000001</v>
      </c>
      <c r="G45" s="54"/>
      <c r="H45" s="19"/>
      <c r="I45" s="42"/>
    </row>
    <row r="46" spans="1:10" ht="101.25">
      <c r="A46" s="272" t="s">
        <v>175</v>
      </c>
      <c r="B46" s="289"/>
      <c r="C46" s="53" t="s">
        <v>120</v>
      </c>
      <c r="D46" s="2" t="s">
        <v>1</v>
      </c>
      <c r="E46" s="17">
        <f t="shared" si="3"/>
        <v>29456.999999999996</v>
      </c>
      <c r="F46" s="61">
        <f>65.46*G2</f>
        <v>23565.599999999999</v>
      </c>
      <c r="G46" s="52"/>
      <c r="H46" s="19">
        <v>13600</v>
      </c>
      <c r="I46" s="42">
        <f t="shared" si="1"/>
        <v>73.118279569892479</v>
      </c>
      <c r="J46" s="3">
        <f t="shared" si="0"/>
        <v>18718.279569892475</v>
      </c>
    </row>
    <row r="47" spans="1:10" ht="57.75" customHeight="1">
      <c r="A47" s="286" t="s">
        <v>176</v>
      </c>
      <c r="B47" s="287"/>
      <c r="C47" s="274" t="s">
        <v>119</v>
      </c>
      <c r="D47" s="16" t="s">
        <v>1</v>
      </c>
      <c r="E47" s="17">
        <f t="shared" si="3"/>
        <v>28471.5</v>
      </c>
      <c r="F47" s="68">
        <f>63.27*G2</f>
        <v>22777.200000000001</v>
      </c>
      <c r="G47" s="81"/>
      <c r="H47" s="19">
        <v>13875</v>
      </c>
      <c r="I47" s="42">
        <f t="shared" si="1"/>
        <v>74.596774193548384</v>
      </c>
      <c r="J47" s="3">
        <f t="shared" si="0"/>
        <v>19096.774193548386</v>
      </c>
    </row>
    <row r="48" spans="1:10" ht="57.75" customHeight="1">
      <c r="A48" s="286" t="s">
        <v>177</v>
      </c>
      <c r="B48" s="287"/>
      <c r="C48" s="275"/>
      <c r="D48" s="16" t="s">
        <v>1</v>
      </c>
      <c r="E48" s="17">
        <f t="shared" si="3"/>
        <v>28471.5</v>
      </c>
      <c r="F48" s="68">
        <f>63.27*G2</f>
        <v>22777.200000000001</v>
      </c>
      <c r="G48" s="81"/>
      <c r="H48" s="19"/>
      <c r="I48" s="42"/>
    </row>
    <row r="49" spans="1:12" ht="101.25">
      <c r="A49" s="286" t="s">
        <v>178</v>
      </c>
      <c r="B49" s="287"/>
      <c r="C49" s="82" t="s">
        <v>164</v>
      </c>
      <c r="D49" s="16" t="s">
        <v>1</v>
      </c>
      <c r="E49" s="17">
        <f t="shared" si="3"/>
        <v>36621</v>
      </c>
      <c r="F49" s="68">
        <f>81.38*G2</f>
        <v>29296.799999999999</v>
      </c>
      <c r="G49" s="83"/>
      <c r="H49" s="19"/>
      <c r="I49" s="42"/>
    </row>
    <row r="50" spans="1:12" ht="60.75" customHeight="1">
      <c r="A50" s="272" t="s">
        <v>179</v>
      </c>
      <c r="B50" s="273"/>
      <c r="C50" s="284" t="s">
        <v>165</v>
      </c>
      <c r="D50" s="2" t="s">
        <v>1</v>
      </c>
      <c r="E50" s="17">
        <f t="shared" si="3"/>
        <v>17901</v>
      </c>
      <c r="F50" s="61">
        <f>39.78*G2</f>
        <v>14320.800000000001</v>
      </c>
      <c r="G50" s="72"/>
      <c r="H50" s="19">
        <v>8600</v>
      </c>
      <c r="I50" s="42">
        <f t="shared" si="1"/>
        <v>46.236559139784944</v>
      </c>
      <c r="J50" s="3">
        <f t="shared" si="0"/>
        <v>11836.559139784946</v>
      </c>
    </row>
    <row r="51" spans="1:12" ht="60.75" customHeight="1">
      <c r="A51" s="272" t="s">
        <v>180</v>
      </c>
      <c r="B51" s="273"/>
      <c r="C51" s="285"/>
      <c r="D51" s="2" t="s">
        <v>1</v>
      </c>
      <c r="E51" s="17">
        <f t="shared" si="3"/>
        <v>19570.5</v>
      </c>
      <c r="F51" s="61">
        <f>43.49*G2</f>
        <v>15656.400000000001</v>
      </c>
      <c r="G51" s="16" t="s">
        <v>207</v>
      </c>
      <c r="H51" s="19">
        <v>9400</v>
      </c>
      <c r="I51" s="42">
        <f t="shared" si="1"/>
        <v>50.537634408602152</v>
      </c>
      <c r="J51" s="3">
        <f t="shared" si="0"/>
        <v>12937.634408602151</v>
      </c>
    </row>
    <row r="52" spans="1:12" ht="101.25">
      <c r="A52" s="276" t="s">
        <v>181</v>
      </c>
      <c r="B52" s="273"/>
      <c r="C52" s="11" t="s">
        <v>123</v>
      </c>
      <c r="D52" s="2" t="s">
        <v>1</v>
      </c>
      <c r="E52" s="17">
        <f t="shared" si="3"/>
        <v>12248.999999999998</v>
      </c>
      <c r="F52" s="61">
        <f>27.22*G2</f>
        <v>9799.1999999999989</v>
      </c>
      <c r="G52" s="81"/>
      <c r="H52" s="19">
        <v>5650</v>
      </c>
      <c r="I52" s="42">
        <f t="shared" si="1"/>
        <v>30.376344086021504</v>
      </c>
      <c r="J52" s="3">
        <f t="shared" si="0"/>
        <v>7776.3440860215051</v>
      </c>
    </row>
    <row r="53" spans="1:12" ht="101.25">
      <c r="A53" s="276" t="s">
        <v>182</v>
      </c>
      <c r="B53" s="273"/>
      <c r="C53" s="11" t="s">
        <v>166</v>
      </c>
      <c r="D53" s="2" t="s">
        <v>1</v>
      </c>
      <c r="E53" s="17">
        <f t="shared" si="3"/>
        <v>12248.999999999998</v>
      </c>
      <c r="F53" s="61">
        <f>27.22*G2</f>
        <v>9799.1999999999989</v>
      </c>
      <c r="G53" s="16"/>
      <c r="H53" s="19">
        <v>5650</v>
      </c>
      <c r="I53" s="42">
        <f t="shared" si="1"/>
        <v>30.376344086021504</v>
      </c>
      <c r="J53" s="3">
        <f t="shared" si="0"/>
        <v>7776.3440860215051</v>
      </c>
    </row>
    <row r="54" spans="1:12" ht="101.25">
      <c r="A54" s="276" t="s">
        <v>183</v>
      </c>
      <c r="B54" s="273"/>
      <c r="C54" s="11" t="s">
        <v>124</v>
      </c>
      <c r="D54" s="2" t="s">
        <v>1</v>
      </c>
      <c r="E54" s="17">
        <f t="shared" si="3"/>
        <v>10399.5</v>
      </c>
      <c r="F54" s="61">
        <f>23.11*G2</f>
        <v>8319.6</v>
      </c>
      <c r="G54" s="16"/>
      <c r="H54" s="19">
        <v>4800</v>
      </c>
      <c r="I54" s="42">
        <f t="shared" si="1"/>
        <v>25.806451612903224</v>
      </c>
      <c r="J54" s="3">
        <f t="shared" si="0"/>
        <v>6606.4516129032254</v>
      </c>
    </row>
    <row r="55" spans="1:12" ht="16.5" customHeight="1">
      <c r="A55" s="290" t="s">
        <v>4</v>
      </c>
      <c r="B55" s="291"/>
      <c r="C55" s="291"/>
      <c r="D55" s="291"/>
      <c r="E55" s="291"/>
      <c r="F55" s="291"/>
      <c r="G55" s="292"/>
      <c r="H55" s="43"/>
      <c r="I55" s="42">
        <f t="shared" si="1"/>
        <v>0</v>
      </c>
      <c r="J55" s="3">
        <f t="shared" si="0"/>
        <v>0</v>
      </c>
    </row>
    <row r="56" spans="1:12" ht="12.75" customHeight="1">
      <c r="A56" s="293" t="s">
        <v>12</v>
      </c>
      <c r="B56" s="294"/>
      <c r="C56" s="294"/>
      <c r="D56" s="294"/>
      <c r="E56" s="294"/>
      <c r="F56" s="294"/>
      <c r="G56" s="295"/>
      <c r="H56" s="44"/>
      <c r="I56" s="42">
        <f t="shared" si="1"/>
        <v>0</v>
      </c>
      <c r="J56" s="3">
        <f t="shared" si="0"/>
        <v>0</v>
      </c>
    </row>
    <row r="57" spans="1:12" ht="24.75" customHeight="1">
      <c r="A57" s="272" t="s">
        <v>14</v>
      </c>
      <c r="B57" s="273"/>
      <c r="C57" s="18" t="s">
        <v>142</v>
      </c>
      <c r="D57" s="2" t="s">
        <v>1</v>
      </c>
      <c r="E57" s="64">
        <f t="shared" ref="E57:E62" si="4">F57/0.8</f>
        <v>52700.399999999994</v>
      </c>
      <c r="F57" s="61">
        <f>117.112*G2</f>
        <v>42160.32</v>
      </c>
      <c r="G57" s="96"/>
      <c r="H57" s="19">
        <v>25300</v>
      </c>
      <c r="I57" s="42">
        <f t="shared" si="1"/>
        <v>136.02150537634409</v>
      </c>
      <c r="J57" s="3">
        <f t="shared" si="0"/>
        <v>34821.505376344088</v>
      </c>
    </row>
    <row r="58" spans="1:12" ht="24.75" customHeight="1">
      <c r="A58" s="272" t="s">
        <v>196</v>
      </c>
      <c r="B58" s="273"/>
      <c r="C58" s="18" t="s">
        <v>197</v>
      </c>
      <c r="D58" s="2" t="s">
        <v>1</v>
      </c>
      <c r="E58" s="64">
        <f t="shared" si="4"/>
        <v>48968.999999999993</v>
      </c>
      <c r="F58" s="61">
        <f>108.82*G2</f>
        <v>39175.199999999997</v>
      </c>
      <c r="G58" s="96"/>
      <c r="H58" s="19"/>
      <c r="I58" s="42"/>
    </row>
    <row r="59" spans="1:12" ht="22.5" customHeight="1">
      <c r="A59" s="272" t="s">
        <v>15</v>
      </c>
      <c r="B59" s="273"/>
      <c r="C59" s="18" t="s">
        <v>143</v>
      </c>
      <c r="D59" s="2" t="s">
        <v>1</v>
      </c>
      <c r="E59" s="64">
        <f t="shared" si="4"/>
        <v>41269.049999999996</v>
      </c>
      <c r="F59" s="61">
        <f>91.709*G2</f>
        <v>33015.24</v>
      </c>
      <c r="G59" s="91"/>
      <c r="H59" s="19">
        <v>19800</v>
      </c>
      <c r="I59" s="42">
        <f t="shared" si="1"/>
        <v>106.45161290322581</v>
      </c>
      <c r="J59" s="3">
        <f t="shared" si="0"/>
        <v>27251.612903225807</v>
      </c>
    </row>
    <row r="60" spans="1:12" ht="22.5" customHeight="1">
      <c r="A60" s="272" t="s">
        <v>16</v>
      </c>
      <c r="B60" s="273"/>
      <c r="C60" s="18" t="s">
        <v>144</v>
      </c>
      <c r="D60" s="2" t="s">
        <v>1</v>
      </c>
      <c r="E60" s="64">
        <f t="shared" si="4"/>
        <v>35843.85</v>
      </c>
      <c r="F60" s="61">
        <f>79.653*G2</f>
        <v>28675.08</v>
      </c>
      <c r="G60" s="96"/>
      <c r="H60" s="19">
        <v>17200</v>
      </c>
      <c r="I60" s="42">
        <f t="shared" si="1"/>
        <v>92.473118279569889</v>
      </c>
      <c r="J60" s="3">
        <f t="shared" si="0"/>
        <v>23673.118279569891</v>
      </c>
      <c r="L60" s="21"/>
    </row>
    <row r="61" spans="1:12" ht="24.75" customHeight="1">
      <c r="A61" s="272" t="s">
        <v>17</v>
      </c>
      <c r="B61" s="273"/>
      <c r="C61" s="18" t="s">
        <v>145</v>
      </c>
      <c r="D61" s="2" t="s">
        <v>1</v>
      </c>
      <c r="E61" s="64">
        <f t="shared" si="4"/>
        <v>27706.5</v>
      </c>
      <c r="F61" s="61">
        <f>61.57*G2</f>
        <v>22165.200000000001</v>
      </c>
      <c r="G61" s="91"/>
      <c r="H61" s="19">
        <v>13300</v>
      </c>
      <c r="I61" s="42">
        <f t="shared" si="1"/>
        <v>71.505376344086017</v>
      </c>
      <c r="J61" s="3">
        <f t="shared" si="0"/>
        <v>18305.37634408602</v>
      </c>
    </row>
    <row r="62" spans="1:12" ht="24" customHeight="1">
      <c r="A62" s="272" t="s">
        <v>13</v>
      </c>
      <c r="B62" s="273"/>
      <c r="C62" s="18" t="s">
        <v>167</v>
      </c>
      <c r="D62" s="2" t="s">
        <v>1</v>
      </c>
      <c r="E62" s="64">
        <f t="shared" si="4"/>
        <v>58230</v>
      </c>
      <c r="F62" s="61">
        <f>129.4*G2</f>
        <v>46584</v>
      </c>
      <c r="G62" s="96"/>
      <c r="H62" s="19">
        <v>27929.032258064515</v>
      </c>
      <c r="I62" s="42">
        <f t="shared" si="1"/>
        <v>150.15608740894902</v>
      </c>
      <c r="J62" s="3">
        <f t="shared" si="0"/>
        <v>38439.958376690949</v>
      </c>
    </row>
    <row r="63" spans="1:12" ht="23.25" customHeight="1">
      <c r="A63" s="288" t="s">
        <v>3</v>
      </c>
      <c r="B63" s="288"/>
      <c r="C63" s="288"/>
      <c r="D63" s="288"/>
      <c r="E63" s="288"/>
      <c r="F63" s="288"/>
      <c r="G63" s="288"/>
      <c r="H63" s="47"/>
      <c r="I63" s="42">
        <f t="shared" si="1"/>
        <v>0</v>
      </c>
      <c r="J63" s="3">
        <f t="shared" si="0"/>
        <v>0</v>
      </c>
    </row>
    <row r="64" spans="1:12" ht="20.25" customHeight="1">
      <c r="A64" s="266" t="s">
        <v>33</v>
      </c>
      <c r="B64" s="267"/>
      <c r="C64" s="267"/>
      <c r="D64" s="267"/>
      <c r="E64" s="267"/>
      <c r="F64" s="267"/>
      <c r="G64" s="268"/>
      <c r="H64" s="46"/>
      <c r="I64" s="42">
        <f t="shared" si="1"/>
        <v>0</v>
      </c>
      <c r="J64" s="3">
        <f t="shared" si="0"/>
        <v>0</v>
      </c>
    </row>
    <row r="65" spans="1:11" ht="31.5" customHeight="1">
      <c r="A65" s="280" t="s">
        <v>25</v>
      </c>
      <c r="B65" s="309"/>
      <c r="C65" s="90" t="s">
        <v>140</v>
      </c>
      <c r="D65" s="91" t="s">
        <v>1</v>
      </c>
      <c r="E65" s="95">
        <f>F65/0.8</f>
        <v>14026.5</v>
      </c>
      <c r="F65" s="20">
        <f>31.17*G2</f>
        <v>11221.2</v>
      </c>
      <c r="G65" s="94" t="s">
        <v>220</v>
      </c>
      <c r="H65" s="20">
        <v>13302</v>
      </c>
      <c r="I65" s="42">
        <f t="shared" si="1"/>
        <v>71.516129032258064</v>
      </c>
      <c r="J65" s="3">
        <f t="shared" si="0"/>
        <v>18308.129032258064</v>
      </c>
      <c r="K65" s="21"/>
    </row>
    <row r="66" spans="1:11" ht="26.25" customHeight="1">
      <c r="A66" s="280" t="s">
        <v>26</v>
      </c>
      <c r="B66" s="309"/>
      <c r="C66" s="90" t="s">
        <v>141</v>
      </c>
      <c r="D66" s="91" t="s">
        <v>1</v>
      </c>
      <c r="E66" s="95">
        <f>F66/0.8</f>
        <v>25051.5</v>
      </c>
      <c r="F66" s="20">
        <f>55.67*G2</f>
        <v>20041.2</v>
      </c>
      <c r="G66" s="94" t="s">
        <v>220</v>
      </c>
      <c r="H66" s="20">
        <v>18593</v>
      </c>
      <c r="I66" s="42">
        <f t="shared" si="1"/>
        <v>99.962365591397855</v>
      </c>
      <c r="J66" s="3">
        <f t="shared" si="0"/>
        <v>25590.365591397851</v>
      </c>
      <c r="K66" s="21"/>
    </row>
    <row r="67" spans="1:11" ht="26.25" customHeight="1">
      <c r="A67" s="266" t="s">
        <v>200</v>
      </c>
      <c r="B67" s="267"/>
      <c r="C67" s="267"/>
      <c r="D67" s="267"/>
      <c r="E67" s="267"/>
      <c r="F67" s="267"/>
      <c r="G67" s="267"/>
      <c r="H67" s="74"/>
      <c r="I67" s="75"/>
    </row>
    <row r="68" spans="1:11" ht="26.25" customHeight="1">
      <c r="A68" s="271" t="s">
        <v>202</v>
      </c>
      <c r="B68" s="271"/>
      <c r="C68" s="77" t="s">
        <v>206</v>
      </c>
      <c r="D68" s="16" t="s">
        <v>1</v>
      </c>
      <c r="E68" s="50">
        <f>F68/0.8</f>
        <v>12222</v>
      </c>
      <c r="F68" s="84">
        <f>27.16*G2</f>
        <v>9777.6</v>
      </c>
      <c r="G68" s="40"/>
      <c r="H68" s="76"/>
      <c r="I68" s="76"/>
    </row>
    <row r="69" spans="1:11" ht="28.5" customHeight="1">
      <c r="A69" s="271" t="s">
        <v>201</v>
      </c>
      <c r="B69" s="271"/>
      <c r="C69" s="77" t="s">
        <v>203</v>
      </c>
      <c r="D69" s="16" t="s">
        <v>1</v>
      </c>
      <c r="E69" s="50">
        <f>F69/0.8</f>
        <v>13265.999999999998</v>
      </c>
      <c r="F69" s="70">
        <f>29.48*G2</f>
        <v>10612.8</v>
      </c>
      <c r="G69" s="39"/>
      <c r="H69" s="73"/>
      <c r="I69" s="42"/>
    </row>
    <row r="70" spans="1:11" ht="22.5" customHeight="1">
      <c r="A70" s="266" t="s">
        <v>115</v>
      </c>
      <c r="B70" s="267"/>
      <c r="C70" s="267"/>
      <c r="D70" s="267"/>
      <c r="E70" s="267"/>
      <c r="F70" s="267"/>
      <c r="G70" s="268"/>
      <c r="H70" s="46"/>
      <c r="I70" s="42">
        <f t="shared" si="1"/>
        <v>0</v>
      </c>
      <c r="J70" s="3">
        <f t="shared" si="0"/>
        <v>0</v>
      </c>
    </row>
    <row r="71" spans="1:11" ht="23.25" customHeight="1">
      <c r="A71" s="282" t="s">
        <v>116</v>
      </c>
      <c r="B71" s="283"/>
      <c r="C71" s="58" t="s">
        <v>117</v>
      </c>
      <c r="D71" s="39" t="s">
        <v>1</v>
      </c>
      <c r="E71" s="51">
        <f>F71/0.8</f>
        <v>14912.999999999998</v>
      </c>
      <c r="F71" s="51">
        <f>33.14*G2</f>
        <v>11930.4</v>
      </c>
      <c r="G71" s="40"/>
      <c r="H71" s="48"/>
      <c r="I71" s="42">
        <f t="shared" si="1"/>
        <v>0</v>
      </c>
      <c r="J71" s="3">
        <f t="shared" si="0"/>
        <v>0</v>
      </c>
    </row>
    <row r="72" spans="1:11" ht="28.5" customHeight="1">
      <c r="A72" s="266" t="s">
        <v>160</v>
      </c>
      <c r="B72" s="267"/>
      <c r="C72" s="267"/>
      <c r="D72" s="267"/>
      <c r="E72" s="267"/>
      <c r="F72" s="267"/>
      <c r="G72" s="268"/>
      <c r="H72" s="48"/>
      <c r="I72" s="42"/>
    </row>
    <row r="73" spans="1:11" ht="28.5" customHeight="1">
      <c r="A73" s="271" t="s">
        <v>194</v>
      </c>
      <c r="B73" s="271"/>
      <c r="C73" s="58" t="s">
        <v>195</v>
      </c>
      <c r="D73" s="39" t="s">
        <v>1</v>
      </c>
      <c r="E73" s="51">
        <f>F73/0.8</f>
        <v>4122</v>
      </c>
      <c r="F73" s="51">
        <f>9.16*G2</f>
        <v>3297.6</v>
      </c>
      <c r="G73" s="40"/>
      <c r="H73" s="48"/>
      <c r="I73" s="42"/>
    </row>
    <row r="74" spans="1:11" ht="23.25" customHeight="1">
      <c r="A74" s="271" t="s">
        <v>161</v>
      </c>
      <c r="B74" s="271"/>
      <c r="C74" s="58" t="s">
        <v>162</v>
      </c>
      <c r="D74" s="39" t="s">
        <v>1</v>
      </c>
      <c r="E74" s="51">
        <f>F74/0.8</f>
        <v>6182.9999999999991</v>
      </c>
      <c r="F74" s="51">
        <f>13.74*G2</f>
        <v>4946.3999999999996</v>
      </c>
      <c r="G74" s="40"/>
      <c r="H74" s="48"/>
      <c r="I74" s="42"/>
    </row>
    <row r="75" spans="1:11" ht="25.5" customHeight="1">
      <c r="A75" s="266" t="s">
        <v>31</v>
      </c>
      <c r="B75" s="267"/>
      <c r="C75" s="267"/>
      <c r="D75" s="267"/>
      <c r="E75" s="267"/>
      <c r="F75" s="267"/>
      <c r="G75" s="268"/>
      <c r="H75" s="46"/>
      <c r="I75" s="42">
        <f t="shared" si="1"/>
        <v>0</v>
      </c>
      <c r="J75" s="3">
        <f t="shared" si="0"/>
        <v>0</v>
      </c>
    </row>
    <row r="76" spans="1:11" ht="38.25" customHeight="1">
      <c r="A76" s="282" t="s">
        <v>7</v>
      </c>
      <c r="B76" s="287"/>
      <c r="C76" s="66" t="s">
        <v>138</v>
      </c>
      <c r="D76" s="16" t="s">
        <v>1</v>
      </c>
      <c r="E76" s="67">
        <f t="shared" ref="E76:E81" si="5">F76/0.8</f>
        <v>9675</v>
      </c>
      <c r="F76" s="68">
        <f>21.5*G2</f>
        <v>7740</v>
      </c>
      <c r="G76" s="39"/>
      <c r="H76" s="20">
        <v>3990</v>
      </c>
      <c r="I76" s="42">
        <f t="shared" si="1"/>
        <v>21.451612903225808</v>
      </c>
      <c r="J76" s="3">
        <f t="shared" si="0"/>
        <v>5491.6129032258068</v>
      </c>
    </row>
    <row r="77" spans="1:11" ht="29.25" customHeight="1">
      <c r="A77" s="286" t="s">
        <v>169</v>
      </c>
      <c r="B77" s="287"/>
      <c r="C77" s="66" t="s">
        <v>139</v>
      </c>
      <c r="D77" s="16" t="s">
        <v>1</v>
      </c>
      <c r="E77" s="69">
        <f t="shared" si="5"/>
        <v>15826.5</v>
      </c>
      <c r="F77" s="70">
        <f>35.17*G2</f>
        <v>12661.2</v>
      </c>
      <c r="G77" s="39"/>
      <c r="H77" s="20"/>
      <c r="I77" s="42"/>
    </row>
    <row r="78" spans="1:11" ht="29.25" customHeight="1">
      <c r="A78" s="286" t="s">
        <v>170</v>
      </c>
      <c r="B78" s="287"/>
      <c r="C78" s="66" t="s">
        <v>139</v>
      </c>
      <c r="D78" s="16" t="s">
        <v>1</v>
      </c>
      <c r="E78" s="69">
        <f t="shared" si="5"/>
        <v>15497.999999999998</v>
      </c>
      <c r="F78" s="70">
        <f>34.44*G2</f>
        <v>12398.4</v>
      </c>
      <c r="G78" s="39"/>
      <c r="H78" s="20"/>
      <c r="I78" s="42"/>
    </row>
    <row r="79" spans="1:11" ht="29.25" customHeight="1">
      <c r="A79" s="286" t="s">
        <v>171</v>
      </c>
      <c r="B79" s="287"/>
      <c r="C79" s="66" t="s">
        <v>157</v>
      </c>
      <c r="D79" s="16" t="s">
        <v>1</v>
      </c>
      <c r="E79" s="69">
        <f t="shared" si="5"/>
        <v>17955</v>
      </c>
      <c r="F79" s="70">
        <f>39.9*G2</f>
        <v>14364</v>
      </c>
      <c r="G79" s="39"/>
      <c r="H79" s="20"/>
      <c r="I79" s="42"/>
    </row>
    <row r="80" spans="1:11" ht="29.25" customHeight="1">
      <c r="A80" s="282" t="s">
        <v>158</v>
      </c>
      <c r="B80" s="283"/>
      <c r="C80" s="66" t="s">
        <v>185</v>
      </c>
      <c r="D80" s="16" t="s">
        <v>1</v>
      </c>
      <c r="E80" s="69">
        <f t="shared" si="5"/>
        <v>3874.4999999999995</v>
      </c>
      <c r="F80" s="70">
        <f>8.61*G2</f>
        <v>3099.6</v>
      </c>
      <c r="G80" s="89"/>
      <c r="H80" s="20"/>
      <c r="I80" s="42"/>
    </row>
    <row r="81" spans="1:10" ht="30.75" customHeight="1">
      <c r="A81" s="282" t="s">
        <v>159</v>
      </c>
      <c r="B81" s="283"/>
      <c r="C81" s="66" t="s">
        <v>184</v>
      </c>
      <c r="D81" s="16" t="s">
        <v>1</v>
      </c>
      <c r="E81" s="69">
        <f t="shared" si="5"/>
        <v>3271.4999999999995</v>
      </c>
      <c r="F81" s="70">
        <f>7.27*G2</f>
        <v>2617.1999999999998</v>
      </c>
      <c r="G81" s="89"/>
      <c r="H81" s="20">
        <v>3800</v>
      </c>
      <c r="I81" s="42">
        <f t="shared" si="1"/>
        <v>20.43010752688172</v>
      </c>
      <c r="J81" s="3">
        <f t="shared" si="0"/>
        <v>5230.1075268817203</v>
      </c>
    </row>
    <row r="82" spans="1:10" ht="25.5" customHeight="1">
      <c r="A82" s="266" t="s">
        <v>29</v>
      </c>
      <c r="B82" s="267"/>
      <c r="C82" s="267"/>
      <c r="D82" s="267"/>
      <c r="E82" s="267"/>
      <c r="F82" s="267"/>
      <c r="G82" s="268"/>
      <c r="H82" s="46"/>
      <c r="I82" s="42">
        <f t="shared" si="1"/>
        <v>0</v>
      </c>
      <c r="J82" s="3">
        <f t="shared" si="0"/>
        <v>0</v>
      </c>
    </row>
    <row r="83" spans="1:10" ht="28.5" customHeight="1">
      <c r="A83" s="282" t="s">
        <v>137</v>
      </c>
      <c r="B83" s="283"/>
      <c r="C83" s="59" t="s">
        <v>156</v>
      </c>
      <c r="D83" s="39" t="s">
        <v>1</v>
      </c>
      <c r="E83" s="51">
        <f t="shared" ref="E83:E88" si="6">F83/0.8</f>
        <v>17271</v>
      </c>
      <c r="F83" s="51">
        <f>38.38*G2</f>
        <v>13816.800000000001</v>
      </c>
      <c r="G83" s="40"/>
      <c r="H83" s="46"/>
      <c r="I83" s="42"/>
    </row>
    <row r="84" spans="1:10" ht="28.5" customHeight="1">
      <c r="A84" s="272" t="s">
        <v>155</v>
      </c>
      <c r="B84" s="273"/>
      <c r="C84" s="60" t="s">
        <v>40</v>
      </c>
      <c r="D84" s="2" t="s">
        <v>1</v>
      </c>
      <c r="E84" s="62">
        <f t="shared" si="6"/>
        <v>13684.5</v>
      </c>
      <c r="F84" s="63">
        <f>30.41*G2</f>
        <v>10947.6</v>
      </c>
      <c r="G84" s="16"/>
      <c r="H84" s="19">
        <v>6990</v>
      </c>
      <c r="I84" s="42">
        <f t="shared" si="1"/>
        <v>37.58064516129032</v>
      </c>
      <c r="J84" s="3">
        <f t="shared" si="0"/>
        <v>9620.645161290322</v>
      </c>
    </row>
    <row r="85" spans="1:10" ht="28.5" customHeight="1">
      <c r="A85" s="272" t="s">
        <v>118</v>
      </c>
      <c r="B85" s="273"/>
      <c r="C85" s="60" t="s">
        <v>39</v>
      </c>
      <c r="D85" s="2" t="s">
        <v>1</v>
      </c>
      <c r="E85" s="62">
        <f t="shared" si="6"/>
        <v>15646.5</v>
      </c>
      <c r="F85" s="63">
        <f>34.77*G2</f>
        <v>12517.2</v>
      </c>
      <c r="G85" s="16"/>
      <c r="H85" s="19">
        <v>7990</v>
      </c>
      <c r="I85" s="42">
        <f t="shared" si="1"/>
        <v>42.956989247311824</v>
      </c>
      <c r="J85" s="3">
        <f t="shared" si="0"/>
        <v>10996.989247311827</v>
      </c>
    </row>
    <row r="86" spans="1:10" ht="28.5" customHeight="1">
      <c r="A86" s="272" t="s">
        <v>111</v>
      </c>
      <c r="B86" s="273"/>
      <c r="C86" s="60" t="s">
        <v>40</v>
      </c>
      <c r="D86" s="2" t="s">
        <v>1</v>
      </c>
      <c r="E86" s="62">
        <f t="shared" si="6"/>
        <v>13000.499999999998</v>
      </c>
      <c r="F86" s="63">
        <f>28.89*G2</f>
        <v>10400.4</v>
      </c>
      <c r="G86" s="16"/>
      <c r="H86" s="41"/>
      <c r="I86" s="42">
        <f t="shared" si="1"/>
        <v>0</v>
      </c>
      <c r="J86" s="3">
        <f t="shared" si="0"/>
        <v>0</v>
      </c>
    </row>
    <row r="87" spans="1:10" ht="28.5" customHeight="1">
      <c r="A87" s="272" t="s">
        <v>112</v>
      </c>
      <c r="B87" s="273"/>
      <c r="C87" s="60" t="s">
        <v>39</v>
      </c>
      <c r="D87" s="2" t="s">
        <v>1</v>
      </c>
      <c r="E87" s="62">
        <f t="shared" si="6"/>
        <v>14863.5</v>
      </c>
      <c r="F87" s="63">
        <f>33.03*G2</f>
        <v>11890.800000000001</v>
      </c>
      <c r="G87" s="16"/>
      <c r="H87" s="41"/>
      <c r="I87" s="42">
        <f t="shared" si="1"/>
        <v>0</v>
      </c>
      <c r="J87" s="3">
        <f t="shared" si="0"/>
        <v>0</v>
      </c>
    </row>
    <row r="88" spans="1:10" ht="28.5" customHeight="1">
      <c r="A88" s="272" t="s">
        <v>113</v>
      </c>
      <c r="B88" s="273"/>
      <c r="C88" s="60" t="s">
        <v>114</v>
      </c>
      <c r="D88" s="2" t="s">
        <v>1</v>
      </c>
      <c r="E88" s="62">
        <f t="shared" si="6"/>
        <v>17603.999999999996</v>
      </c>
      <c r="F88" s="63">
        <f>39.12*G2</f>
        <v>14083.199999999999</v>
      </c>
      <c r="G88" s="16"/>
      <c r="H88" s="41"/>
      <c r="I88" s="42">
        <f t="shared" si="1"/>
        <v>0</v>
      </c>
      <c r="J88" s="3">
        <f t="shared" si="0"/>
        <v>0</v>
      </c>
    </row>
    <row r="89" spans="1:10" ht="27" customHeight="1">
      <c r="A89" s="266" t="s">
        <v>41</v>
      </c>
      <c r="B89" s="307"/>
      <c r="C89" s="307"/>
      <c r="D89" s="307"/>
      <c r="E89" s="307"/>
      <c r="F89" s="307"/>
      <c r="G89" s="308"/>
      <c r="H89" s="49"/>
      <c r="I89" s="42">
        <f t="shared" si="1"/>
        <v>0</v>
      </c>
      <c r="J89" s="3">
        <f t="shared" si="0"/>
        <v>0</v>
      </c>
    </row>
    <row r="90" spans="1:10" ht="30" customHeight="1">
      <c r="A90" s="272" t="s">
        <v>8</v>
      </c>
      <c r="B90" s="273"/>
      <c r="C90" s="18" t="s">
        <v>146</v>
      </c>
      <c r="D90" s="2" t="s">
        <v>1</v>
      </c>
      <c r="E90" s="64">
        <f>F90/0.8</f>
        <v>47700</v>
      </c>
      <c r="F90" s="61">
        <f>106*G2</f>
        <v>38160</v>
      </c>
      <c r="G90" s="81"/>
      <c r="H90" s="19">
        <v>21645</v>
      </c>
      <c r="I90" s="42">
        <f t="shared" si="1"/>
        <v>116.37096774193549</v>
      </c>
      <c r="J90" s="3">
        <f t="shared" si="0"/>
        <v>29790.967741935485</v>
      </c>
    </row>
    <row r="91" spans="1:10" ht="25.5" customHeight="1">
      <c r="A91" s="266" t="s">
        <v>30</v>
      </c>
      <c r="B91" s="267"/>
      <c r="C91" s="267"/>
      <c r="D91" s="267"/>
      <c r="E91" s="267"/>
      <c r="F91" s="267"/>
      <c r="G91" s="268"/>
      <c r="H91" s="46"/>
      <c r="I91" s="42">
        <f t="shared" si="1"/>
        <v>0</v>
      </c>
      <c r="J91" s="3">
        <f t="shared" si="0"/>
        <v>0</v>
      </c>
    </row>
    <row r="92" spans="1:10" ht="21" customHeight="1">
      <c r="A92" s="272" t="s">
        <v>44</v>
      </c>
      <c r="B92" s="273"/>
      <c r="C92" s="18" t="s">
        <v>147</v>
      </c>
      <c r="D92" s="4" t="s">
        <v>1</v>
      </c>
      <c r="E92" s="64">
        <f>F92/0.8</f>
        <v>43537.5</v>
      </c>
      <c r="F92" s="61">
        <f>96.75*G2</f>
        <v>34830</v>
      </c>
      <c r="G92" s="81"/>
      <c r="H92" s="19">
        <v>19900</v>
      </c>
      <c r="I92" s="42">
        <f t="shared" si="1"/>
        <v>106.98924731182795</v>
      </c>
      <c r="J92" s="3">
        <f t="shared" si="0"/>
        <v>27389.247311827956</v>
      </c>
    </row>
    <row r="93" spans="1:10" ht="21" customHeight="1">
      <c r="A93" s="272" t="s">
        <v>45</v>
      </c>
      <c r="B93" s="273"/>
      <c r="C93" s="18" t="s">
        <v>148</v>
      </c>
      <c r="D93" s="4" t="s">
        <v>1</v>
      </c>
      <c r="E93" s="64">
        <f t="shared" ref="E93:E98" si="7">F93/0.8</f>
        <v>52285.5</v>
      </c>
      <c r="F93" s="61">
        <f>116.19*G2</f>
        <v>41828.400000000001</v>
      </c>
      <c r="G93" s="81"/>
      <c r="H93" s="19">
        <v>23900</v>
      </c>
      <c r="I93" s="42">
        <f t="shared" si="1"/>
        <v>128.49462365591398</v>
      </c>
      <c r="J93" s="3">
        <f t="shared" si="0"/>
        <v>32894.62365591398</v>
      </c>
    </row>
    <row r="94" spans="1:10" ht="21" customHeight="1">
      <c r="A94" s="272" t="s">
        <v>9</v>
      </c>
      <c r="B94" s="273"/>
      <c r="C94" s="18" t="s">
        <v>149</v>
      </c>
      <c r="D94" s="4" t="s">
        <v>1</v>
      </c>
      <c r="E94" s="64">
        <f t="shared" si="7"/>
        <v>64530</v>
      </c>
      <c r="F94" s="61">
        <f>143.4*G2</f>
        <v>51624</v>
      </c>
      <c r="G94" s="81"/>
      <c r="H94" s="19">
        <v>29500</v>
      </c>
      <c r="I94" s="42">
        <f t="shared" si="1"/>
        <v>158.6021505376344</v>
      </c>
      <c r="J94" s="3">
        <f t="shared" si="0"/>
        <v>40602.150537634407</v>
      </c>
    </row>
    <row r="95" spans="1:10" ht="21" customHeight="1">
      <c r="A95" s="272" t="s">
        <v>47</v>
      </c>
      <c r="B95" s="273"/>
      <c r="C95" s="18" t="s">
        <v>150</v>
      </c>
      <c r="D95" s="4" t="s">
        <v>1</v>
      </c>
      <c r="E95" s="64">
        <f t="shared" si="7"/>
        <v>78322.5</v>
      </c>
      <c r="F95" s="61">
        <f>174.05*G2</f>
        <v>62658.000000000007</v>
      </c>
      <c r="G95" s="81"/>
      <c r="H95" s="19">
        <v>35800</v>
      </c>
      <c r="I95" s="42">
        <f t="shared" si="1"/>
        <v>192.47311827956989</v>
      </c>
      <c r="J95" s="3">
        <f t="shared" si="0"/>
        <v>49273.118279569891</v>
      </c>
    </row>
    <row r="96" spans="1:10" ht="21" customHeight="1">
      <c r="A96" s="272" t="s">
        <v>46</v>
      </c>
      <c r="B96" s="273"/>
      <c r="C96" s="18" t="s">
        <v>151</v>
      </c>
      <c r="D96" s="4" t="s">
        <v>1</v>
      </c>
      <c r="E96" s="64">
        <f t="shared" si="7"/>
        <v>93622.5</v>
      </c>
      <c r="F96" s="61">
        <f>208.05*G2</f>
        <v>74898</v>
      </c>
      <c r="G96" s="81"/>
      <c r="H96" s="19">
        <v>42800</v>
      </c>
      <c r="I96" s="42">
        <f t="shared" si="1"/>
        <v>230.10752688172042</v>
      </c>
      <c r="J96" s="3">
        <f t="shared" si="0"/>
        <v>58907.526881720427</v>
      </c>
    </row>
    <row r="97" spans="1:10" ht="21" customHeight="1">
      <c r="A97" s="272" t="s">
        <v>27</v>
      </c>
      <c r="B97" s="273"/>
      <c r="C97" s="18" t="s">
        <v>152</v>
      </c>
      <c r="D97" s="4" t="s">
        <v>1</v>
      </c>
      <c r="E97" s="64">
        <f t="shared" si="7"/>
        <v>120109.5</v>
      </c>
      <c r="F97" s="61">
        <f>266.91*G2</f>
        <v>96087.6</v>
      </c>
      <c r="G97" s="16"/>
      <c r="H97" s="19">
        <v>54900</v>
      </c>
      <c r="I97" s="42">
        <f t="shared" si="1"/>
        <v>295.16129032258067</v>
      </c>
      <c r="J97" s="3">
        <f>I97*256</f>
        <v>75561.290322580651</v>
      </c>
    </row>
    <row r="98" spans="1:10" ht="21" customHeight="1">
      <c r="A98" s="272" t="s">
        <v>28</v>
      </c>
      <c r="B98" s="273"/>
      <c r="C98" s="18" t="s">
        <v>153</v>
      </c>
      <c r="D98" s="4" t="s">
        <v>1</v>
      </c>
      <c r="E98" s="64">
        <f t="shared" si="7"/>
        <v>133209</v>
      </c>
      <c r="F98" s="61">
        <f>296.02*G2</f>
        <v>106567.2</v>
      </c>
      <c r="G98" s="16"/>
      <c r="H98" s="19">
        <v>60900</v>
      </c>
      <c r="I98" s="42">
        <f t="shared" si="1"/>
        <v>327.41935483870969</v>
      </c>
      <c r="J98" s="3">
        <f>I98*256</f>
        <v>83819.354838709682</v>
      </c>
    </row>
    <row r="99" spans="1:10" ht="18">
      <c r="A99" s="277" t="s">
        <v>48</v>
      </c>
      <c r="B99" s="278"/>
      <c r="C99" s="278"/>
      <c r="D99" s="278"/>
      <c r="E99" s="278"/>
      <c r="F99" s="278"/>
      <c r="G99" s="279"/>
      <c r="H99" s="46"/>
      <c r="I99" s="42">
        <f>H99/186</f>
        <v>0</v>
      </c>
      <c r="J99" s="3">
        <f>I99*256</f>
        <v>0</v>
      </c>
    </row>
    <row r="100" spans="1:10" ht="23.25" customHeight="1">
      <c r="A100" s="280" t="s">
        <v>186</v>
      </c>
      <c r="B100" s="281"/>
      <c r="C100" s="90" t="s">
        <v>221</v>
      </c>
      <c r="D100" s="91" t="s">
        <v>1</v>
      </c>
      <c r="E100" s="92">
        <f t="shared" ref="E100:E105" si="8">F100/0.8</f>
        <v>8716.5</v>
      </c>
      <c r="F100" s="93">
        <f>19.37*G2</f>
        <v>6973.2000000000007</v>
      </c>
      <c r="G100" s="94" t="s">
        <v>220</v>
      </c>
      <c r="H100" s="46"/>
      <c r="I100" s="42"/>
    </row>
    <row r="101" spans="1:10" ht="23.25" customHeight="1">
      <c r="A101" s="280" t="s">
        <v>191</v>
      </c>
      <c r="B101" s="281"/>
      <c r="C101" s="90" t="s">
        <v>154</v>
      </c>
      <c r="D101" s="91" t="s">
        <v>1</v>
      </c>
      <c r="E101" s="92">
        <f t="shared" si="8"/>
        <v>9814.4999999999982</v>
      </c>
      <c r="F101" s="93">
        <f>21.81*G2</f>
        <v>7851.5999999999995</v>
      </c>
      <c r="G101" s="94" t="s">
        <v>220</v>
      </c>
      <c r="H101" s="19">
        <v>7500</v>
      </c>
      <c r="I101" s="42">
        <f>H101/186</f>
        <v>40.322580645161288</v>
      </c>
      <c r="J101" s="3">
        <f>I101*256</f>
        <v>10322.58064516129</v>
      </c>
    </row>
    <row r="102" spans="1:10" ht="23.25" customHeight="1">
      <c r="A102" s="280" t="s">
        <v>187</v>
      </c>
      <c r="B102" s="281"/>
      <c r="C102" s="90" t="s">
        <v>192</v>
      </c>
      <c r="D102" s="91" t="s">
        <v>1</v>
      </c>
      <c r="E102" s="92">
        <f t="shared" si="8"/>
        <v>10813.5</v>
      </c>
      <c r="F102" s="93">
        <f>24.03*G2</f>
        <v>8650.8000000000011</v>
      </c>
      <c r="G102" s="94" t="s">
        <v>220</v>
      </c>
      <c r="H102" s="65"/>
      <c r="I102" s="42"/>
    </row>
    <row r="103" spans="1:10" ht="23.25" customHeight="1">
      <c r="A103" s="280" t="s">
        <v>188</v>
      </c>
      <c r="B103" s="281"/>
      <c r="C103" s="90" t="s">
        <v>198</v>
      </c>
      <c r="D103" s="91" t="s">
        <v>1</v>
      </c>
      <c r="E103" s="92">
        <f t="shared" si="8"/>
        <v>10921.5</v>
      </c>
      <c r="F103" s="93">
        <f>24.27*G2</f>
        <v>8737.2000000000007</v>
      </c>
      <c r="G103" s="94" t="s">
        <v>220</v>
      </c>
      <c r="H103" s="65"/>
      <c r="I103" s="42"/>
    </row>
    <row r="104" spans="1:10" ht="23.25" customHeight="1">
      <c r="A104" s="280" t="s">
        <v>189</v>
      </c>
      <c r="B104" s="281"/>
      <c r="C104" s="90" t="s">
        <v>193</v>
      </c>
      <c r="D104" s="91" t="s">
        <v>1</v>
      </c>
      <c r="E104" s="92">
        <f t="shared" si="8"/>
        <v>11974.5</v>
      </c>
      <c r="F104" s="93">
        <f>26.61*G2</f>
        <v>9579.6</v>
      </c>
      <c r="G104" s="94" t="s">
        <v>220</v>
      </c>
      <c r="H104" s="65"/>
      <c r="I104" s="42"/>
    </row>
    <row r="105" spans="1:10" ht="23.25" customHeight="1">
      <c r="A105" s="280" t="s">
        <v>190</v>
      </c>
      <c r="B105" s="281"/>
      <c r="C105" s="90" t="s">
        <v>199</v>
      </c>
      <c r="D105" s="91" t="s">
        <v>1</v>
      </c>
      <c r="E105" s="92">
        <f t="shared" si="8"/>
        <v>13630.499999999998</v>
      </c>
      <c r="F105" s="93">
        <f>30.29*G2</f>
        <v>10904.4</v>
      </c>
      <c r="G105" s="94" t="s">
        <v>220</v>
      </c>
      <c r="H105" s="65"/>
      <c r="I105" s="42"/>
    </row>
  </sheetData>
  <mergeCells count="107">
    <mergeCell ref="A103:B103"/>
    <mergeCell ref="A104:B104"/>
    <mergeCell ref="A105:B105"/>
    <mergeCell ref="A97:B97"/>
    <mergeCell ref="A98:B98"/>
    <mergeCell ref="A99:G99"/>
    <mergeCell ref="A100:B100"/>
    <mergeCell ref="A101:B101"/>
    <mergeCell ref="A102:B102"/>
    <mergeCell ref="A85:B85"/>
    <mergeCell ref="A86:B86"/>
    <mergeCell ref="A87:B87"/>
    <mergeCell ref="A88:B88"/>
    <mergeCell ref="A89:G89"/>
    <mergeCell ref="A90:B90"/>
    <mergeCell ref="A91:G91"/>
    <mergeCell ref="A92:B92"/>
    <mergeCell ref="A93:B93"/>
    <mergeCell ref="A94:B94"/>
    <mergeCell ref="A95:B95"/>
    <mergeCell ref="A96:B96"/>
    <mergeCell ref="A73:B73"/>
    <mergeCell ref="A74:B74"/>
    <mergeCell ref="A75:G75"/>
    <mergeCell ref="A76:B76"/>
    <mergeCell ref="A77:B77"/>
    <mergeCell ref="A78:B78"/>
    <mergeCell ref="A79:B79"/>
    <mergeCell ref="A80:B80"/>
    <mergeCell ref="A81:B81"/>
    <mergeCell ref="A82:G82"/>
    <mergeCell ref="A83:B83"/>
    <mergeCell ref="A84:B84"/>
    <mergeCell ref="A61:B61"/>
    <mergeCell ref="A62:B62"/>
    <mergeCell ref="A63:G63"/>
    <mergeCell ref="A64:G64"/>
    <mergeCell ref="A65:B65"/>
    <mergeCell ref="A66:B66"/>
    <mergeCell ref="A67:G67"/>
    <mergeCell ref="A68:B68"/>
    <mergeCell ref="A69:B69"/>
    <mergeCell ref="A70:G70"/>
    <mergeCell ref="A71:B71"/>
    <mergeCell ref="A72:G72"/>
    <mergeCell ref="A50:B50"/>
    <mergeCell ref="C50:C51"/>
    <mergeCell ref="A51:B51"/>
    <mergeCell ref="A52:B52"/>
    <mergeCell ref="A53:B53"/>
    <mergeCell ref="A54:B54"/>
    <mergeCell ref="A55:G55"/>
    <mergeCell ref="A56:G56"/>
    <mergeCell ref="A57:B57"/>
    <mergeCell ref="A58:B58"/>
    <mergeCell ref="A59:B59"/>
    <mergeCell ref="A60:B60"/>
    <mergeCell ref="A39:B39"/>
    <mergeCell ref="A40:G40"/>
    <mergeCell ref="A41:B41"/>
    <mergeCell ref="A42:G42"/>
    <mergeCell ref="A43:B43"/>
    <mergeCell ref="C43:C44"/>
    <mergeCell ref="G43:G44"/>
    <mergeCell ref="A44:B44"/>
    <mergeCell ref="A45:B45"/>
    <mergeCell ref="A46:B46"/>
    <mergeCell ref="A47:B47"/>
    <mergeCell ref="C47:C48"/>
    <mergeCell ref="A48:B48"/>
    <mergeCell ref="A49:B4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5:B15"/>
    <mergeCell ref="A16:G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F1"/>
    <mergeCell ref="D4:F4"/>
    <mergeCell ref="A5:B5"/>
    <mergeCell ref="A6:J6"/>
    <mergeCell ref="A7:B7"/>
    <mergeCell ref="A8:B8"/>
    <mergeCell ref="A9:G9"/>
    <mergeCell ref="A10:B10"/>
    <mergeCell ref="A11:G11"/>
    <mergeCell ref="A12:B12"/>
    <mergeCell ref="A13:B13"/>
    <mergeCell ref="A14:B14"/>
  </mergeCells>
  <hyperlinks>
    <hyperlink ref="B4" r:id="rId1" display="www.almacom.info  E-mail:almacom@inbox,ru"/>
  </hyperlinks>
  <pageMargins left="0.59055118110236227" right="0.43307086614173229" top="0.39370078740157483" bottom="0.11811023622047245" header="0.19685039370078741" footer="0.15748031496062992"/>
  <pageSetup paperSize="9" scale="56" orientation="portrait" horizontalDpi="300" verticalDpi="1200" r:id="rId2"/>
  <rowBreaks count="2" manualBreakCount="2">
    <brk id="28" max="6" man="1"/>
    <brk id="54" max="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81"/>
  <sheetViews>
    <sheetView tabSelected="1" view="pageBreakPreview" zoomScaleNormal="100" zoomScaleSheetLayoutView="100" zoomScalePageLayoutView="90" workbookViewId="0">
      <selection activeCell="R5" sqref="R5"/>
    </sheetView>
  </sheetViews>
  <sheetFormatPr defaultColWidth="9.28515625" defaultRowHeight="12.75"/>
  <cols>
    <col min="1" max="1" width="5" style="3" customWidth="1"/>
    <col min="2" max="2" width="23.5703125" style="3" customWidth="1"/>
    <col min="3" max="3" width="10.28515625" style="97" customWidth="1"/>
    <col min="4" max="4" width="48.5703125" style="3" customWidth="1"/>
    <col min="5" max="5" width="7.28515625" style="28" customWidth="1"/>
    <col min="6" max="6" width="11.42578125" style="109" bestFit="1" customWidth="1"/>
    <col min="7" max="7" width="11.5703125" style="109" customWidth="1"/>
    <col min="8" max="8" width="13.42578125" style="258" customWidth="1"/>
    <col min="9" max="9" width="0.85546875" style="168" customWidth="1"/>
    <col min="10" max="16384" width="9.28515625" style="3"/>
  </cols>
  <sheetData>
    <row r="1" spans="1:9" ht="22.15" customHeight="1">
      <c r="A1" s="355" t="s">
        <v>49</v>
      </c>
      <c r="B1" s="355"/>
      <c r="C1" s="355"/>
      <c r="D1" s="355"/>
      <c r="E1" s="355"/>
      <c r="F1" s="355"/>
      <c r="G1" s="355"/>
      <c r="H1" s="455" t="s">
        <v>732</v>
      </c>
    </row>
    <row r="2" spans="1:9" ht="18.75" customHeight="1">
      <c r="A2" s="358" t="s">
        <v>341</v>
      </c>
      <c r="B2" s="358"/>
      <c r="C2" s="358"/>
      <c r="D2" s="358"/>
      <c r="E2" s="358"/>
      <c r="F2" s="358"/>
      <c r="G2" s="358"/>
      <c r="H2" s="358"/>
    </row>
    <row r="3" spans="1:9" ht="13.5">
      <c r="A3" s="358" t="s">
        <v>749</v>
      </c>
      <c r="B3" s="358"/>
      <c r="C3" s="358"/>
      <c r="D3" s="358"/>
      <c r="E3" s="358"/>
      <c r="F3" s="358"/>
      <c r="G3" s="358"/>
      <c r="H3" s="230"/>
      <c r="I3" s="180"/>
    </row>
    <row r="4" spans="1:9" ht="22.15" customHeight="1" thickBot="1">
      <c r="A4" s="99"/>
      <c r="B4" s="98"/>
      <c r="C4" s="100"/>
      <c r="D4" s="101"/>
      <c r="E4" s="359"/>
      <c r="F4" s="359"/>
      <c r="G4" s="359"/>
      <c r="H4" s="359"/>
    </row>
    <row r="5" spans="1:9" ht="51" customHeight="1" thickBot="1">
      <c r="A5" s="356" t="s">
        <v>2</v>
      </c>
      <c r="B5" s="357"/>
      <c r="C5" s="357" t="s">
        <v>0</v>
      </c>
      <c r="D5" s="357"/>
      <c r="E5" s="172" t="s">
        <v>5</v>
      </c>
      <c r="F5" s="172" t="s">
        <v>231</v>
      </c>
      <c r="G5" s="172" t="s">
        <v>232</v>
      </c>
      <c r="H5" s="231" t="s">
        <v>230</v>
      </c>
    </row>
    <row r="6" spans="1:9" ht="15" thickBot="1">
      <c r="A6" s="329" t="s">
        <v>536</v>
      </c>
      <c r="B6" s="330"/>
      <c r="C6" s="330"/>
      <c r="D6" s="330"/>
      <c r="E6" s="330"/>
      <c r="F6" s="330"/>
      <c r="G6" s="330"/>
      <c r="H6" s="331"/>
    </row>
    <row r="7" spans="1:9" ht="24" customHeight="1">
      <c r="A7" s="332" t="s">
        <v>534</v>
      </c>
      <c r="B7" s="144" t="s">
        <v>529</v>
      </c>
      <c r="C7" s="146" t="s">
        <v>228</v>
      </c>
      <c r="D7" s="314" t="s">
        <v>535</v>
      </c>
      <c r="E7" s="146" t="s">
        <v>1</v>
      </c>
      <c r="F7" s="148">
        <v>172586.25</v>
      </c>
      <c r="G7" s="431">
        <v>156293.125</v>
      </c>
      <c r="H7" s="187"/>
    </row>
    <row r="8" spans="1:9" ht="24" customHeight="1">
      <c r="A8" s="333"/>
      <c r="B8" s="139" t="s">
        <v>530</v>
      </c>
      <c r="C8" s="137" t="s">
        <v>225</v>
      </c>
      <c r="D8" s="310"/>
      <c r="E8" s="137" t="s">
        <v>1</v>
      </c>
      <c r="F8" s="150">
        <v>199991.25</v>
      </c>
      <c r="G8" s="431">
        <v>181495.625</v>
      </c>
      <c r="H8" s="229"/>
    </row>
    <row r="9" spans="1:9" ht="24" customHeight="1">
      <c r="A9" s="333"/>
      <c r="B9" s="139" t="s">
        <v>531</v>
      </c>
      <c r="C9" s="181" t="s">
        <v>226</v>
      </c>
      <c r="D9" s="310"/>
      <c r="E9" s="137" t="s">
        <v>1</v>
      </c>
      <c r="F9" s="150">
        <v>294799.5</v>
      </c>
      <c r="G9" s="431">
        <v>265899.75</v>
      </c>
      <c r="H9" s="232"/>
    </row>
    <row r="10" spans="1:9" ht="24" customHeight="1" thickBot="1">
      <c r="A10" s="334"/>
      <c r="B10" s="141" t="s">
        <v>532</v>
      </c>
      <c r="C10" s="142" t="s">
        <v>227</v>
      </c>
      <c r="D10" s="318"/>
      <c r="E10" s="142" t="s">
        <v>1</v>
      </c>
      <c r="F10" s="153">
        <v>374056.49999999994</v>
      </c>
      <c r="G10" s="431">
        <v>338028.25</v>
      </c>
      <c r="H10" s="228"/>
    </row>
    <row r="11" spans="1:9" ht="24" customHeight="1" thickBot="1">
      <c r="A11" s="329" t="s">
        <v>686</v>
      </c>
      <c r="B11" s="330"/>
      <c r="C11" s="330"/>
      <c r="D11" s="330"/>
      <c r="E11" s="330"/>
      <c r="F11" s="330"/>
      <c r="G11" s="330"/>
      <c r="H11" s="331"/>
    </row>
    <row r="12" spans="1:9" ht="24" customHeight="1">
      <c r="A12" s="366" t="s">
        <v>688</v>
      </c>
      <c r="B12" s="201" t="s">
        <v>700</v>
      </c>
      <c r="C12" s="198" t="s">
        <v>224</v>
      </c>
      <c r="D12" s="320" t="s">
        <v>699</v>
      </c>
      <c r="E12" s="140" t="s">
        <v>1</v>
      </c>
      <c r="F12" s="152">
        <v>104617.5</v>
      </c>
      <c r="G12" s="433">
        <v>94808.75</v>
      </c>
      <c r="H12" s="248"/>
    </row>
    <row r="13" spans="1:9" ht="35.25" customHeight="1">
      <c r="A13" s="312"/>
      <c r="B13" s="139" t="s">
        <v>687</v>
      </c>
      <c r="C13" s="207" t="s">
        <v>228</v>
      </c>
      <c r="D13" s="310"/>
      <c r="E13" s="137" t="s">
        <v>1</v>
      </c>
      <c r="F13" s="150">
        <v>117194.4375</v>
      </c>
      <c r="G13" s="431">
        <v>106097.21875</v>
      </c>
      <c r="H13" s="199"/>
    </row>
    <row r="14" spans="1:9" ht="35.25" customHeight="1">
      <c r="A14" s="312"/>
      <c r="B14" s="139" t="s">
        <v>697</v>
      </c>
      <c r="C14" s="207" t="s">
        <v>225</v>
      </c>
      <c r="D14" s="310"/>
      <c r="E14" s="137" t="s">
        <v>1</v>
      </c>
      <c r="F14" s="150">
        <v>135801.5625</v>
      </c>
      <c r="G14" s="431">
        <v>122900.78125</v>
      </c>
      <c r="H14" s="199"/>
    </row>
    <row r="15" spans="1:9" ht="35.25" customHeight="1">
      <c r="A15" s="382"/>
      <c r="B15" s="139" t="s">
        <v>744</v>
      </c>
      <c r="C15" s="223" t="s">
        <v>226</v>
      </c>
      <c r="D15" s="318"/>
      <c r="E15" s="137" t="s">
        <v>1</v>
      </c>
      <c r="F15" s="150">
        <v>200181.5625</v>
      </c>
      <c r="G15" s="431">
        <v>181090.78125</v>
      </c>
      <c r="H15" s="228"/>
    </row>
    <row r="16" spans="1:9" ht="35.25" customHeight="1" thickBot="1">
      <c r="A16" s="382"/>
      <c r="B16" s="141" t="s">
        <v>701</v>
      </c>
      <c r="C16" s="438" t="s">
        <v>229</v>
      </c>
      <c r="D16" s="318"/>
      <c r="E16" s="142" t="s">
        <v>1</v>
      </c>
      <c r="F16" s="153">
        <v>254001.9375</v>
      </c>
      <c r="G16" s="432">
        <v>229500.96875</v>
      </c>
      <c r="H16" s="228"/>
    </row>
    <row r="17" spans="1:9" ht="15" thickBot="1">
      <c r="A17" s="329" t="s">
        <v>331</v>
      </c>
      <c r="B17" s="330"/>
      <c r="C17" s="330"/>
      <c r="D17" s="330"/>
      <c r="E17" s="330"/>
      <c r="F17" s="330"/>
      <c r="G17" s="330"/>
      <c r="H17" s="331"/>
    </row>
    <row r="18" spans="1:9" ht="17.25" customHeight="1">
      <c r="A18" s="363" t="s">
        <v>413</v>
      </c>
      <c r="B18" s="201" t="s">
        <v>321</v>
      </c>
      <c r="C18" s="198" t="s">
        <v>224</v>
      </c>
      <c r="D18" s="320" t="s">
        <v>326</v>
      </c>
      <c r="E18" s="198" t="s">
        <v>1</v>
      </c>
      <c r="F18" s="202">
        <v>113100</v>
      </c>
      <c r="G18" s="431">
        <v>102550</v>
      </c>
      <c r="H18" s="234" t="s">
        <v>461</v>
      </c>
    </row>
    <row r="19" spans="1:9" ht="21" customHeight="1">
      <c r="A19" s="364"/>
      <c r="B19" s="139" t="s">
        <v>322</v>
      </c>
      <c r="C19" s="183" t="s">
        <v>228</v>
      </c>
      <c r="D19" s="310"/>
      <c r="E19" s="183" t="s">
        <v>1</v>
      </c>
      <c r="F19" s="151">
        <v>126693.75</v>
      </c>
      <c r="G19" s="431">
        <v>114846.875</v>
      </c>
      <c r="H19" s="235"/>
      <c r="I19" s="182"/>
    </row>
    <row r="20" spans="1:9" ht="17.25" customHeight="1">
      <c r="A20" s="364"/>
      <c r="B20" s="139" t="s">
        <v>323</v>
      </c>
      <c r="C20" s="183" t="s">
        <v>225</v>
      </c>
      <c r="D20" s="310"/>
      <c r="E20" s="183" t="s">
        <v>1</v>
      </c>
      <c r="F20" s="151">
        <v>146812.5</v>
      </c>
      <c r="G20" s="431">
        <v>132906.25</v>
      </c>
      <c r="H20" s="208"/>
    </row>
    <row r="21" spans="1:9" ht="17.25" customHeight="1">
      <c r="A21" s="364"/>
      <c r="B21" s="139" t="s">
        <v>324</v>
      </c>
      <c r="C21" s="183" t="s">
        <v>226</v>
      </c>
      <c r="D21" s="310"/>
      <c r="E21" s="183" t="s">
        <v>1</v>
      </c>
      <c r="F21" s="151">
        <v>216412.5</v>
      </c>
      <c r="G21" s="431">
        <v>195706.25</v>
      </c>
      <c r="H21" s="208"/>
    </row>
    <row r="22" spans="1:9" ht="17.25" customHeight="1" thickBot="1">
      <c r="A22" s="450"/>
      <c r="B22" s="141" t="s">
        <v>325</v>
      </c>
      <c r="C22" s="438" t="s">
        <v>227</v>
      </c>
      <c r="D22" s="318"/>
      <c r="E22" s="438" t="s">
        <v>1</v>
      </c>
      <c r="F22" s="439">
        <v>274593.75</v>
      </c>
      <c r="G22" s="432">
        <v>248796.875</v>
      </c>
      <c r="H22" s="240"/>
    </row>
    <row r="23" spans="1:9" ht="17.25" customHeight="1" thickBot="1">
      <c r="A23" s="329" t="s">
        <v>330</v>
      </c>
      <c r="B23" s="330"/>
      <c r="C23" s="330"/>
      <c r="D23" s="330"/>
      <c r="E23" s="330"/>
      <c r="F23" s="330"/>
      <c r="G23" s="330"/>
      <c r="H23" s="331"/>
    </row>
    <row r="24" spans="1:9">
      <c r="A24" s="363" t="s">
        <v>411</v>
      </c>
      <c r="B24" s="201" t="s">
        <v>236</v>
      </c>
      <c r="C24" s="198" t="s">
        <v>224</v>
      </c>
      <c r="D24" s="320" t="s">
        <v>313</v>
      </c>
      <c r="E24" s="198" t="s">
        <v>1</v>
      </c>
      <c r="F24" s="202">
        <v>119548.875</v>
      </c>
      <c r="G24" s="433">
        <v>107774.4375</v>
      </c>
      <c r="H24" s="241" t="s">
        <v>461</v>
      </c>
    </row>
    <row r="25" spans="1:9" ht="17.25" customHeight="1">
      <c r="A25" s="364"/>
      <c r="B25" s="139" t="s">
        <v>237</v>
      </c>
      <c r="C25" s="190" t="s">
        <v>228</v>
      </c>
      <c r="D25" s="310"/>
      <c r="E25" s="190" t="s">
        <v>1</v>
      </c>
      <c r="F25" s="151">
        <v>133914.75</v>
      </c>
      <c r="G25" s="431">
        <v>120457.375</v>
      </c>
      <c r="H25" s="208"/>
    </row>
    <row r="26" spans="1:9" ht="17.25" customHeight="1">
      <c r="A26" s="364"/>
      <c r="B26" s="139" t="s">
        <v>238</v>
      </c>
      <c r="C26" s="190" t="s">
        <v>225</v>
      </c>
      <c r="D26" s="310"/>
      <c r="E26" s="190" t="s">
        <v>1</v>
      </c>
      <c r="F26" s="151">
        <v>155180.8125</v>
      </c>
      <c r="G26" s="431">
        <v>140090.40625</v>
      </c>
      <c r="H26" s="229"/>
    </row>
    <row r="27" spans="1:9" ht="17.25" customHeight="1">
      <c r="A27" s="364"/>
      <c r="B27" s="139" t="s">
        <v>239</v>
      </c>
      <c r="C27" s="190" t="s">
        <v>226</v>
      </c>
      <c r="D27" s="310"/>
      <c r="E27" s="190" t="s">
        <v>1</v>
      </c>
      <c r="F27" s="151">
        <v>228750.1875</v>
      </c>
      <c r="G27" s="431">
        <v>206875.09375</v>
      </c>
      <c r="H27" s="199"/>
    </row>
    <row r="28" spans="1:9" ht="17.25" customHeight="1" thickBot="1">
      <c r="A28" s="450"/>
      <c r="B28" s="141" t="s">
        <v>240</v>
      </c>
      <c r="C28" s="438" t="s">
        <v>227</v>
      </c>
      <c r="D28" s="318"/>
      <c r="E28" s="438" t="s">
        <v>1</v>
      </c>
      <c r="F28" s="439">
        <v>290245.59375</v>
      </c>
      <c r="G28" s="432">
        <v>262622.796875</v>
      </c>
      <c r="H28" s="254"/>
    </row>
    <row r="29" spans="1:9" ht="15" thickBot="1">
      <c r="A29" s="329" t="s">
        <v>340</v>
      </c>
      <c r="B29" s="330"/>
      <c r="C29" s="330"/>
      <c r="D29" s="330"/>
      <c r="E29" s="330"/>
      <c r="F29" s="330"/>
      <c r="G29" s="330"/>
      <c r="H29" s="331"/>
    </row>
    <row r="30" spans="1:9" ht="17.25" customHeight="1">
      <c r="A30" s="363" t="s">
        <v>412</v>
      </c>
      <c r="B30" s="201" t="s">
        <v>316</v>
      </c>
      <c r="C30" s="198" t="s">
        <v>224</v>
      </c>
      <c r="D30" s="320" t="s">
        <v>313</v>
      </c>
      <c r="E30" s="198" t="s">
        <v>1</v>
      </c>
      <c r="F30" s="202">
        <v>120739.6875</v>
      </c>
      <c r="G30" s="433">
        <v>109369.84375</v>
      </c>
      <c r="H30" s="241"/>
    </row>
    <row r="31" spans="1:9" ht="17.25" customHeight="1">
      <c r="A31" s="364"/>
      <c r="B31" s="139" t="s">
        <v>317</v>
      </c>
      <c r="C31" s="179" t="s">
        <v>228</v>
      </c>
      <c r="D31" s="310"/>
      <c r="E31" s="179" t="s">
        <v>1</v>
      </c>
      <c r="F31" s="151">
        <v>135252.375</v>
      </c>
      <c r="G31" s="431">
        <v>123126.1875</v>
      </c>
      <c r="H31" s="232"/>
    </row>
    <row r="32" spans="1:9" ht="17.25" customHeight="1">
      <c r="A32" s="364"/>
      <c r="B32" s="139" t="s">
        <v>318</v>
      </c>
      <c r="C32" s="179" t="s">
        <v>225</v>
      </c>
      <c r="D32" s="310"/>
      <c r="E32" s="179" t="s">
        <v>1</v>
      </c>
      <c r="F32" s="151">
        <v>156730.5</v>
      </c>
      <c r="G32" s="431">
        <v>143365.25</v>
      </c>
      <c r="H32" s="237"/>
    </row>
    <row r="33" spans="1:8" ht="17.25" customHeight="1">
      <c r="A33" s="364"/>
      <c r="B33" s="139" t="s">
        <v>319</v>
      </c>
      <c r="C33" s="179" t="s">
        <v>226</v>
      </c>
      <c r="D33" s="310"/>
      <c r="E33" s="179" t="s">
        <v>1</v>
      </c>
      <c r="F33" s="151">
        <v>231033.9375</v>
      </c>
      <c r="G33" s="431">
        <v>210016.96875</v>
      </c>
      <c r="H33" s="208"/>
    </row>
    <row r="34" spans="1:8" ht="17.25" customHeight="1" thickBot="1">
      <c r="A34" s="450"/>
      <c r="B34" s="141" t="s">
        <v>320</v>
      </c>
      <c r="C34" s="438" t="s">
        <v>227</v>
      </c>
      <c r="D34" s="318"/>
      <c r="E34" s="438" t="s">
        <v>1</v>
      </c>
      <c r="F34" s="439">
        <v>293146.5</v>
      </c>
      <c r="G34" s="432">
        <v>266573.25</v>
      </c>
      <c r="H34" s="453"/>
    </row>
    <row r="35" spans="1:8" ht="15" thickBot="1">
      <c r="A35" s="329" t="s">
        <v>664</v>
      </c>
      <c r="B35" s="330"/>
      <c r="C35" s="330"/>
      <c r="D35" s="330"/>
      <c r="E35" s="330"/>
      <c r="F35" s="330"/>
      <c r="G35" s="330"/>
      <c r="H35" s="331"/>
    </row>
    <row r="36" spans="1:8" ht="17.25" customHeight="1">
      <c r="A36" s="363" t="s">
        <v>410</v>
      </c>
      <c r="B36" s="201" t="s">
        <v>333</v>
      </c>
      <c r="C36" s="140" t="s">
        <v>224</v>
      </c>
      <c r="D36" s="320" t="s">
        <v>314</v>
      </c>
      <c r="E36" s="140" t="s">
        <v>1</v>
      </c>
      <c r="F36" s="152">
        <v>122827.6875</v>
      </c>
      <c r="G36" s="433">
        <v>110913.84375</v>
      </c>
      <c r="H36" s="454"/>
    </row>
    <row r="37" spans="1:8" ht="17.25" customHeight="1">
      <c r="A37" s="364"/>
      <c r="B37" s="139" t="s">
        <v>332</v>
      </c>
      <c r="C37" s="137" t="s">
        <v>228</v>
      </c>
      <c r="D37" s="310"/>
      <c r="E37" s="137" t="s">
        <v>1</v>
      </c>
      <c r="F37" s="150">
        <v>137590.5</v>
      </c>
      <c r="G37" s="431">
        <v>124795.25</v>
      </c>
      <c r="H37" s="208"/>
    </row>
    <row r="38" spans="1:8" ht="17.25" customHeight="1">
      <c r="A38" s="364"/>
      <c r="B38" s="139" t="s">
        <v>334</v>
      </c>
      <c r="C38" s="137" t="s">
        <v>225</v>
      </c>
      <c r="D38" s="310"/>
      <c r="E38" s="137" t="s">
        <v>1</v>
      </c>
      <c r="F38" s="150">
        <v>159438.375</v>
      </c>
      <c r="G38" s="431">
        <v>145719.1875</v>
      </c>
      <c r="H38" s="199"/>
    </row>
    <row r="39" spans="1:8" ht="17.25" customHeight="1">
      <c r="A39" s="364"/>
      <c r="B39" s="139" t="s">
        <v>335</v>
      </c>
      <c r="C39" s="137" t="s">
        <v>226</v>
      </c>
      <c r="D39" s="310"/>
      <c r="E39" s="137" t="s">
        <v>1</v>
      </c>
      <c r="F39" s="150">
        <v>235025.06250000003</v>
      </c>
      <c r="G39" s="431">
        <v>213012.53125</v>
      </c>
      <c r="H39" s="208"/>
    </row>
    <row r="40" spans="1:8" ht="13.5" thickBot="1">
      <c r="A40" s="450"/>
      <c r="B40" s="141" t="s">
        <v>336</v>
      </c>
      <c r="C40" s="142" t="s">
        <v>227</v>
      </c>
      <c r="D40" s="318"/>
      <c r="E40" s="142" t="s">
        <v>1</v>
      </c>
      <c r="F40" s="153">
        <v>298208.8125</v>
      </c>
      <c r="G40" s="432">
        <v>271604.40625</v>
      </c>
      <c r="H40" s="228"/>
    </row>
    <row r="41" spans="1:8" ht="15" thickBot="1">
      <c r="A41" s="329" t="s">
        <v>337</v>
      </c>
      <c r="B41" s="330"/>
      <c r="C41" s="330"/>
      <c r="D41" s="330"/>
      <c r="E41" s="330"/>
      <c r="F41" s="330"/>
      <c r="G41" s="330"/>
      <c r="H41" s="331"/>
    </row>
    <row r="42" spans="1:8" ht="18" customHeight="1">
      <c r="A42" s="378" t="s">
        <v>414</v>
      </c>
      <c r="B42" s="263" t="s">
        <v>233</v>
      </c>
      <c r="C42" s="140" t="s">
        <v>228</v>
      </c>
      <c r="D42" s="380" t="s">
        <v>235</v>
      </c>
      <c r="E42" s="140" t="s">
        <v>1</v>
      </c>
      <c r="F42" s="152">
        <v>167475</v>
      </c>
      <c r="G42" s="433">
        <v>151237.5</v>
      </c>
      <c r="H42" s="452"/>
    </row>
    <row r="43" spans="1:8" ht="18" customHeight="1">
      <c r="A43" s="378"/>
      <c r="B43" s="138" t="s">
        <v>234</v>
      </c>
      <c r="C43" s="137" t="s">
        <v>225</v>
      </c>
      <c r="D43" s="380"/>
      <c r="E43" s="137" t="s">
        <v>1</v>
      </c>
      <c r="F43" s="150">
        <v>194662.5</v>
      </c>
      <c r="G43" s="431">
        <v>175831.25</v>
      </c>
      <c r="H43" s="199"/>
    </row>
    <row r="44" spans="1:8" ht="18" customHeight="1" thickBot="1">
      <c r="A44" s="379"/>
      <c r="B44" s="138" t="s">
        <v>702</v>
      </c>
      <c r="C44" s="137" t="s">
        <v>226</v>
      </c>
      <c r="D44" s="381"/>
      <c r="E44" s="137" t="s">
        <v>1</v>
      </c>
      <c r="F44" s="150">
        <v>304500</v>
      </c>
      <c r="G44" s="431">
        <v>274750</v>
      </c>
      <c r="H44" s="238"/>
    </row>
    <row r="45" spans="1:8" ht="17.25" customHeight="1" thickBot="1">
      <c r="A45" s="329" t="s">
        <v>338</v>
      </c>
      <c r="B45" s="330"/>
      <c r="C45" s="330"/>
      <c r="D45" s="330"/>
      <c r="E45" s="330"/>
      <c r="F45" s="330"/>
      <c r="G45" s="330"/>
      <c r="H45" s="331"/>
    </row>
    <row r="46" spans="1:8" ht="21.75" customHeight="1">
      <c r="A46" s="365" t="s">
        <v>415</v>
      </c>
      <c r="B46" s="144" t="s">
        <v>327</v>
      </c>
      <c r="C46" s="194" t="s">
        <v>228</v>
      </c>
      <c r="D46" s="314" t="s">
        <v>235</v>
      </c>
      <c r="E46" s="194" t="s">
        <v>1</v>
      </c>
      <c r="F46" s="154">
        <v>189246.75000000003</v>
      </c>
      <c r="G46" s="431">
        <v>171123.375</v>
      </c>
      <c r="H46" s="232"/>
    </row>
    <row r="47" spans="1:8" ht="21.75" customHeight="1">
      <c r="A47" s="364"/>
      <c r="B47" s="139" t="s">
        <v>328</v>
      </c>
      <c r="C47" s="190" t="s">
        <v>225</v>
      </c>
      <c r="D47" s="310"/>
      <c r="E47" s="190" t="s">
        <v>1</v>
      </c>
      <c r="F47" s="151">
        <v>219968.62500000003</v>
      </c>
      <c r="G47" s="431">
        <v>198484.3125</v>
      </c>
      <c r="H47" s="199"/>
    </row>
    <row r="48" spans="1:8" ht="21.75" customHeight="1">
      <c r="A48" s="364"/>
      <c r="B48" s="139" t="s">
        <v>564</v>
      </c>
      <c r="C48" s="190" t="s">
        <v>565</v>
      </c>
      <c r="D48" s="310"/>
      <c r="E48" s="190" t="s">
        <v>1</v>
      </c>
      <c r="F48" s="151">
        <v>344085</v>
      </c>
      <c r="G48" s="431">
        <v>310542.5</v>
      </c>
      <c r="H48" s="199"/>
    </row>
    <row r="49" spans="1:9" ht="21.75" customHeight="1" thickBot="1">
      <c r="A49" s="450"/>
      <c r="B49" s="141" t="s">
        <v>329</v>
      </c>
      <c r="C49" s="438" t="s">
        <v>227</v>
      </c>
      <c r="D49" s="318"/>
      <c r="E49" s="438" t="s">
        <v>1</v>
      </c>
      <c r="F49" s="439">
        <v>417817.5</v>
      </c>
      <c r="G49" s="432">
        <v>377408.75</v>
      </c>
      <c r="H49" s="228"/>
    </row>
    <row r="50" spans="1:9" ht="21.75" customHeight="1" thickBot="1">
      <c r="A50" s="329" t="s">
        <v>704</v>
      </c>
      <c r="B50" s="330"/>
      <c r="C50" s="330"/>
      <c r="D50" s="330"/>
      <c r="E50" s="330"/>
      <c r="F50" s="330"/>
      <c r="G50" s="330"/>
      <c r="H50" s="331"/>
    </row>
    <row r="51" spans="1:9" ht="61.5" customHeight="1" thickBot="1">
      <c r="A51" s="451" t="s">
        <v>705</v>
      </c>
      <c r="B51" s="441" t="s">
        <v>706</v>
      </c>
      <c r="C51" s="442" t="s">
        <v>225</v>
      </c>
      <c r="D51" s="164" t="s">
        <v>707</v>
      </c>
      <c r="E51" s="442" t="s">
        <v>1</v>
      </c>
      <c r="F51" s="444">
        <v>239103.18750000003</v>
      </c>
      <c r="G51" s="445">
        <v>212051.59375</v>
      </c>
      <c r="H51" s="238"/>
    </row>
    <row r="52" spans="1:9" s="108" customFormat="1" ht="15" thickBot="1">
      <c r="A52" s="447" t="s">
        <v>339</v>
      </c>
      <c r="B52" s="448"/>
      <c r="C52" s="448"/>
      <c r="D52" s="448"/>
      <c r="E52" s="448"/>
      <c r="F52" s="448"/>
      <c r="G52" s="448"/>
      <c r="H52" s="449"/>
      <c r="I52" s="168"/>
    </row>
    <row r="53" spans="1:9" s="108" customFormat="1" ht="18.75" customHeight="1" thickBot="1">
      <c r="A53" s="456"/>
      <c r="B53" s="441" t="s">
        <v>703</v>
      </c>
      <c r="C53" s="164" t="s">
        <v>698</v>
      </c>
      <c r="D53" s="164" t="s">
        <v>541</v>
      </c>
      <c r="E53" s="164" t="s">
        <v>1</v>
      </c>
      <c r="F53" s="166">
        <v>157143.75</v>
      </c>
      <c r="G53" s="445">
        <v>143571.875</v>
      </c>
      <c r="H53" s="457"/>
      <c r="I53" s="168"/>
    </row>
    <row r="54" spans="1:9" s="108" customFormat="1" ht="15.75" thickBot="1">
      <c r="A54" s="337" t="s">
        <v>663</v>
      </c>
      <c r="B54" s="338"/>
      <c r="C54" s="338"/>
      <c r="D54" s="338"/>
      <c r="E54" s="338"/>
      <c r="F54" s="338"/>
      <c r="G54" s="338"/>
      <c r="H54" s="339"/>
      <c r="I54" s="168"/>
    </row>
    <row r="55" spans="1:9" ht="30" customHeight="1">
      <c r="A55" s="311" t="s">
        <v>533</v>
      </c>
      <c r="B55" s="144" t="s">
        <v>427</v>
      </c>
      <c r="C55" s="264" t="s">
        <v>224</v>
      </c>
      <c r="D55" s="314" t="s">
        <v>430</v>
      </c>
      <c r="E55" s="146" t="s">
        <v>1</v>
      </c>
      <c r="F55" s="148">
        <v>99889.919999999998</v>
      </c>
      <c r="G55" s="434">
        <v>91444.959999999992</v>
      </c>
      <c r="H55" s="239"/>
    </row>
    <row r="56" spans="1:9" ht="30" customHeight="1">
      <c r="A56" s="366"/>
      <c r="B56" s="139" t="s">
        <v>428</v>
      </c>
      <c r="C56" s="265" t="s">
        <v>228</v>
      </c>
      <c r="D56" s="320"/>
      <c r="E56" s="137" t="s">
        <v>1</v>
      </c>
      <c r="F56" s="150">
        <v>111895.92</v>
      </c>
      <c r="G56" s="431">
        <v>102447.95999999999</v>
      </c>
      <c r="H56" s="234"/>
    </row>
    <row r="57" spans="1:9" ht="30" customHeight="1">
      <c r="A57" s="366"/>
      <c r="B57" s="139" t="s">
        <v>746</v>
      </c>
      <c r="C57" s="265" t="s">
        <v>225</v>
      </c>
      <c r="D57" s="320"/>
      <c r="E57" s="137" t="s">
        <v>1</v>
      </c>
      <c r="F57" s="150">
        <v>125437</v>
      </c>
      <c r="G57" s="431">
        <v>115718.5</v>
      </c>
      <c r="H57" s="234"/>
    </row>
    <row r="58" spans="1:9" ht="30" customHeight="1" thickBot="1">
      <c r="A58" s="313"/>
      <c r="B58" s="145" t="s">
        <v>747</v>
      </c>
      <c r="C58" s="155" t="s">
        <v>310</v>
      </c>
      <c r="D58" s="315"/>
      <c r="E58" s="147" t="s">
        <v>1</v>
      </c>
      <c r="F58" s="149">
        <v>234613</v>
      </c>
      <c r="G58" s="435">
        <v>215806.5</v>
      </c>
      <c r="H58" s="446"/>
    </row>
    <row r="59" spans="1:9" ht="29.25" customHeight="1">
      <c r="A59" s="366" t="s">
        <v>729</v>
      </c>
      <c r="B59" s="201" t="s">
        <v>709</v>
      </c>
      <c r="C59" s="198" t="s">
        <v>307</v>
      </c>
      <c r="D59" s="320" t="s">
        <v>708</v>
      </c>
      <c r="E59" s="198" t="s">
        <v>1</v>
      </c>
      <c r="F59" s="202">
        <v>105183</v>
      </c>
      <c r="G59" s="433">
        <v>97091.5</v>
      </c>
      <c r="H59" s="248"/>
    </row>
    <row r="60" spans="1:9" ht="23.25" customHeight="1">
      <c r="A60" s="312"/>
      <c r="B60" s="139" t="s">
        <v>710</v>
      </c>
      <c r="C60" s="209" t="s">
        <v>308</v>
      </c>
      <c r="D60" s="310"/>
      <c r="E60" s="209" t="s">
        <v>1</v>
      </c>
      <c r="F60" s="151">
        <v>121887</v>
      </c>
      <c r="G60" s="431">
        <v>113443.5</v>
      </c>
      <c r="H60" s="199"/>
    </row>
    <row r="61" spans="1:9" ht="23.25" customHeight="1" thickBot="1">
      <c r="A61" s="382"/>
      <c r="B61" s="141" t="s">
        <v>711</v>
      </c>
      <c r="C61" s="438" t="s">
        <v>309</v>
      </c>
      <c r="D61" s="318"/>
      <c r="E61" s="438" t="s">
        <v>1</v>
      </c>
      <c r="F61" s="439">
        <v>179667.18</v>
      </c>
      <c r="G61" s="432">
        <v>165833.59</v>
      </c>
      <c r="H61" s="228"/>
    </row>
    <row r="62" spans="1:9" ht="17.25" customHeight="1">
      <c r="A62" s="311" t="s">
        <v>533</v>
      </c>
      <c r="B62" s="144" t="s">
        <v>525</v>
      </c>
      <c r="C62" s="146" t="s">
        <v>306</v>
      </c>
      <c r="D62" s="314" t="s">
        <v>537</v>
      </c>
      <c r="E62" s="146" t="s">
        <v>1</v>
      </c>
      <c r="F62" s="148">
        <v>95896.62000000001</v>
      </c>
      <c r="G62" s="434">
        <v>87948.31</v>
      </c>
      <c r="H62" s="225" t="s">
        <v>685</v>
      </c>
      <c r="I62" s="174"/>
    </row>
    <row r="63" spans="1:9" ht="17.25" customHeight="1">
      <c r="A63" s="312"/>
      <c r="B63" s="139" t="s">
        <v>526</v>
      </c>
      <c r="C63" s="137" t="s">
        <v>307</v>
      </c>
      <c r="D63" s="310"/>
      <c r="E63" s="137" t="s">
        <v>1</v>
      </c>
      <c r="F63" s="150">
        <v>107422.37999999999</v>
      </c>
      <c r="G63" s="431">
        <v>99211.19</v>
      </c>
      <c r="H63" s="199" t="s">
        <v>219</v>
      </c>
      <c r="I63" s="174"/>
    </row>
    <row r="64" spans="1:9" ht="17.25" customHeight="1">
      <c r="A64" s="312"/>
      <c r="B64" s="139" t="s">
        <v>527</v>
      </c>
      <c r="C64" s="137" t="s">
        <v>309</v>
      </c>
      <c r="D64" s="310"/>
      <c r="E64" s="137" t="s">
        <v>1</v>
      </c>
      <c r="F64" s="150">
        <v>183488.22</v>
      </c>
      <c r="G64" s="431">
        <v>168744.11</v>
      </c>
      <c r="H64" s="208" t="s">
        <v>685</v>
      </c>
      <c r="I64" s="174"/>
    </row>
    <row r="65" spans="1:9" ht="17.25" customHeight="1" thickBot="1">
      <c r="A65" s="313"/>
      <c r="B65" s="145" t="s">
        <v>528</v>
      </c>
      <c r="C65" s="147" t="s">
        <v>310</v>
      </c>
      <c r="D65" s="315"/>
      <c r="E65" s="147" t="s">
        <v>1</v>
      </c>
      <c r="F65" s="149">
        <v>232822.43999999997</v>
      </c>
      <c r="G65" s="435">
        <v>214411.21999999997</v>
      </c>
      <c r="H65" s="227" t="s">
        <v>685</v>
      </c>
      <c r="I65" s="174"/>
    </row>
    <row r="66" spans="1:9" ht="17.25" customHeight="1" thickBot="1">
      <c r="A66" s="440"/>
      <c r="B66" s="441" t="s">
        <v>315</v>
      </c>
      <c r="C66" s="442" t="s">
        <v>310</v>
      </c>
      <c r="D66" s="443"/>
      <c r="E66" s="442" t="s">
        <v>1</v>
      </c>
      <c r="F66" s="444">
        <v>211712.75999999998</v>
      </c>
      <c r="G66" s="445">
        <v>194856.38</v>
      </c>
      <c r="H66" s="238"/>
      <c r="I66" s="174"/>
    </row>
    <row r="67" spans="1:9" ht="16.899999999999999" customHeight="1" thickBot="1">
      <c r="A67" s="337" t="s">
        <v>662</v>
      </c>
      <c r="B67" s="338"/>
      <c r="C67" s="338"/>
      <c r="D67" s="338"/>
      <c r="E67" s="338"/>
      <c r="F67" s="338"/>
      <c r="G67" s="338"/>
      <c r="H67" s="339"/>
    </row>
    <row r="68" spans="1:9" ht="36" customHeight="1" thickBot="1">
      <c r="A68" s="436"/>
      <c r="B68" s="262" t="s">
        <v>429</v>
      </c>
      <c r="C68" s="159" t="s">
        <v>243</v>
      </c>
      <c r="D68" s="142"/>
      <c r="E68" s="142" t="s">
        <v>1</v>
      </c>
      <c r="F68" s="153">
        <v>692224.2</v>
      </c>
      <c r="G68" s="432">
        <v>636112.1</v>
      </c>
      <c r="H68" s="228" t="s">
        <v>219</v>
      </c>
    </row>
    <row r="69" spans="1:9" s="108" customFormat="1" ht="15" customHeight="1" thickBot="1">
      <c r="A69" s="337" t="s">
        <v>253</v>
      </c>
      <c r="B69" s="338"/>
      <c r="C69" s="338"/>
      <c r="D69" s="338"/>
      <c r="E69" s="338"/>
      <c r="F69" s="338"/>
      <c r="G69" s="338"/>
      <c r="H69" s="339"/>
      <c r="I69" s="168"/>
    </row>
    <row r="70" spans="1:9" ht="38.25">
      <c r="A70" s="328" t="s">
        <v>278</v>
      </c>
      <c r="B70" s="319"/>
      <c r="C70" s="158" t="s">
        <v>229</v>
      </c>
      <c r="D70" s="437" t="s">
        <v>421</v>
      </c>
      <c r="E70" s="140" t="s">
        <v>1</v>
      </c>
      <c r="F70" s="152">
        <v>506775</v>
      </c>
      <c r="G70" s="433">
        <v>458387.5</v>
      </c>
      <c r="H70" s="248"/>
    </row>
    <row r="71" spans="1:9" ht="38.25">
      <c r="A71" s="316" t="s">
        <v>416</v>
      </c>
      <c r="B71" s="317"/>
      <c r="C71" s="157" t="s">
        <v>229</v>
      </c>
      <c r="D71" s="143" t="s">
        <v>422</v>
      </c>
      <c r="E71" s="137" t="s">
        <v>1</v>
      </c>
      <c r="F71" s="150">
        <v>506775</v>
      </c>
      <c r="G71" s="431">
        <v>458387.5</v>
      </c>
      <c r="H71" s="199"/>
      <c r="I71" s="176"/>
    </row>
    <row r="72" spans="1:9" ht="17.25" customHeight="1">
      <c r="A72" s="316" t="s">
        <v>423</v>
      </c>
      <c r="B72" s="317"/>
      <c r="C72" s="157" t="s">
        <v>229</v>
      </c>
      <c r="D72" s="310" t="s">
        <v>284</v>
      </c>
      <c r="E72" s="137" t="s">
        <v>1</v>
      </c>
      <c r="F72" s="150">
        <v>402375</v>
      </c>
      <c r="G72" s="431">
        <v>363687.5</v>
      </c>
      <c r="H72" s="199"/>
    </row>
    <row r="73" spans="1:9" ht="17.25" customHeight="1">
      <c r="A73" s="316" t="s">
        <v>426</v>
      </c>
      <c r="B73" s="317"/>
      <c r="C73" s="157" t="s">
        <v>241</v>
      </c>
      <c r="D73" s="310"/>
      <c r="E73" s="137" t="s">
        <v>1</v>
      </c>
      <c r="F73" s="150">
        <v>473062.5</v>
      </c>
      <c r="G73" s="431">
        <v>448031.25</v>
      </c>
      <c r="H73" s="199"/>
    </row>
    <row r="74" spans="1:9">
      <c r="A74" s="316" t="s">
        <v>458</v>
      </c>
      <c r="B74" s="317"/>
      <c r="C74" s="157" t="s">
        <v>652</v>
      </c>
      <c r="D74" s="310"/>
      <c r="E74" s="137" t="s">
        <v>1</v>
      </c>
      <c r="F74" s="150">
        <v>728625</v>
      </c>
      <c r="G74" s="431">
        <v>659312.5</v>
      </c>
      <c r="H74" s="199" t="s">
        <v>219</v>
      </c>
    </row>
    <row r="75" spans="1:9" ht="17.25" customHeight="1">
      <c r="A75" s="316" t="s">
        <v>394</v>
      </c>
      <c r="B75" s="317"/>
      <c r="C75" s="157" t="s">
        <v>243</v>
      </c>
      <c r="D75" s="310"/>
      <c r="E75" s="137" t="s">
        <v>1</v>
      </c>
      <c r="F75" s="150">
        <v>810187.5</v>
      </c>
      <c r="G75" s="431">
        <v>730093.75</v>
      </c>
      <c r="H75" s="208" t="s">
        <v>724</v>
      </c>
    </row>
    <row r="76" spans="1:9" ht="17.25" customHeight="1">
      <c r="A76" s="316" t="s">
        <v>74</v>
      </c>
      <c r="B76" s="317"/>
      <c r="C76" s="157" t="s">
        <v>286</v>
      </c>
      <c r="D76" s="310" t="s">
        <v>285</v>
      </c>
      <c r="E76" s="137" t="s">
        <v>1</v>
      </c>
      <c r="F76" s="150">
        <v>1623116.196</v>
      </c>
      <c r="G76" s="431">
        <v>1441558.098</v>
      </c>
      <c r="H76" s="199" t="s">
        <v>724</v>
      </c>
      <c r="I76" s="170"/>
    </row>
    <row r="77" spans="1:9" ht="17.25" customHeight="1" thickBot="1">
      <c r="A77" s="345" t="s">
        <v>76</v>
      </c>
      <c r="B77" s="344"/>
      <c r="C77" s="159" t="s">
        <v>245</v>
      </c>
      <c r="D77" s="318"/>
      <c r="E77" s="142" t="s">
        <v>1</v>
      </c>
      <c r="F77" s="153">
        <v>2029807.9620000001</v>
      </c>
      <c r="G77" s="431">
        <v>1799903.9810000001</v>
      </c>
      <c r="H77" s="240" t="s">
        <v>219</v>
      </c>
      <c r="I77" s="170"/>
    </row>
    <row r="78" spans="1:9" s="108" customFormat="1" ht="16.899999999999999" customHeight="1" thickBot="1">
      <c r="A78" s="337" t="s">
        <v>52</v>
      </c>
      <c r="B78" s="338"/>
      <c r="C78" s="338"/>
      <c r="D78" s="338"/>
      <c r="E78" s="338"/>
      <c r="F78" s="338"/>
      <c r="G78" s="338"/>
      <c r="H78" s="339"/>
      <c r="I78" s="170"/>
    </row>
    <row r="79" spans="1:9" ht="18" customHeight="1">
      <c r="A79" s="346" t="s">
        <v>263</v>
      </c>
      <c r="B79" s="347"/>
      <c r="C79" s="156" t="s">
        <v>226</v>
      </c>
      <c r="D79" s="314" t="s">
        <v>468</v>
      </c>
      <c r="E79" s="146" t="s">
        <v>1</v>
      </c>
      <c r="F79" s="148">
        <v>333464.03999999998</v>
      </c>
      <c r="G79" s="431">
        <v>296732.02</v>
      </c>
      <c r="H79" s="225"/>
      <c r="I79" s="169"/>
    </row>
    <row r="80" spans="1:9" ht="18" customHeight="1">
      <c r="A80" s="316" t="s">
        <v>20</v>
      </c>
      <c r="B80" s="317"/>
      <c r="C80" s="157" t="s">
        <v>227</v>
      </c>
      <c r="D80" s="310"/>
      <c r="E80" s="137" t="s">
        <v>1</v>
      </c>
      <c r="F80" s="150">
        <v>424125</v>
      </c>
      <c r="G80" s="431">
        <v>377062.5</v>
      </c>
      <c r="H80" s="208"/>
      <c r="I80" s="169"/>
    </row>
    <row r="81" spans="1:9" ht="18" customHeight="1">
      <c r="A81" s="316" t="s">
        <v>21</v>
      </c>
      <c r="B81" s="317"/>
      <c r="C81" s="157" t="s">
        <v>246</v>
      </c>
      <c r="D81" s="310"/>
      <c r="E81" s="137" t="s">
        <v>1</v>
      </c>
      <c r="F81" s="150">
        <v>565500</v>
      </c>
      <c r="G81" s="431">
        <v>502750</v>
      </c>
      <c r="H81" s="199" t="s">
        <v>219</v>
      </c>
      <c r="I81" s="170"/>
    </row>
    <row r="82" spans="1:9" ht="18" customHeight="1">
      <c r="A82" s="316" t="s">
        <v>274</v>
      </c>
      <c r="B82" s="317"/>
      <c r="C82" s="157" t="s">
        <v>247</v>
      </c>
      <c r="D82" s="310"/>
      <c r="E82" s="137" t="s">
        <v>1</v>
      </c>
      <c r="F82" s="150">
        <v>718185</v>
      </c>
      <c r="G82" s="431">
        <v>637592.5</v>
      </c>
      <c r="H82" s="208" t="s">
        <v>219</v>
      </c>
      <c r="I82" s="170"/>
    </row>
    <row r="83" spans="1:9" ht="18" customHeight="1">
      <c r="A83" s="316" t="s">
        <v>281</v>
      </c>
      <c r="B83" s="317"/>
      <c r="C83" s="157" t="s">
        <v>252</v>
      </c>
      <c r="D83" s="310"/>
      <c r="E83" s="137" t="s">
        <v>1</v>
      </c>
      <c r="F83" s="150">
        <v>791700</v>
      </c>
      <c r="G83" s="431">
        <v>703350</v>
      </c>
      <c r="H83" s="208" t="s">
        <v>219</v>
      </c>
      <c r="I83" s="170"/>
    </row>
    <row r="84" spans="1:9" ht="18" customHeight="1">
      <c r="A84" s="316" t="s">
        <v>462</v>
      </c>
      <c r="B84" s="317"/>
      <c r="C84" s="157" t="s">
        <v>226</v>
      </c>
      <c r="D84" s="310"/>
      <c r="E84" s="137" t="s">
        <v>1</v>
      </c>
      <c r="F84" s="150">
        <v>299715</v>
      </c>
      <c r="G84" s="431">
        <v>266857.5</v>
      </c>
      <c r="H84" s="199"/>
      <c r="I84" s="170"/>
    </row>
    <row r="85" spans="1:9" ht="18" customHeight="1">
      <c r="A85" s="316" t="s">
        <v>463</v>
      </c>
      <c r="B85" s="317"/>
      <c r="C85" s="157" t="s">
        <v>227</v>
      </c>
      <c r="D85" s="310"/>
      <c r="E85" s="137" t="s">
        <v>1</v>
      </c>
      <c r="F85" s="150">
        <v>378885</v>
      </c>
      <c r="G85" s="431">
        <v>336942.5</v>
      </c>
      <c r="H85" s="199"/>
      <c r="I85" s="170"/>
    </row>
    <row r="86" spans="1:9" ht="18" customHeight="1">
      <c r="A86" s="316" t="s">
        <v>539</v>
      </c>
      <c r="B86" s="317"/>
      <c r="C86" s="157" t="s">
        <v>246</v>
      </c>
      <c r="D86" s="310"/>
      <c r="E86" s="137" t="s">
        <v>1</v>
      </c>
      <c r="F86" s="150">
        <v>525915</v>
      </c>
      <c r="G86" s="431">
        <v>467957.5</v>
      </c>
      <c r="H86" s="208"/>
      <c r="I86" s="170"/>
    </row>
    <row r="87" spans="1:9" ht="18" customHeight="1">
      <c r="A87" s="316" t="s">
        <v>471</v>
      </c>
      <c r="B87" s="317"/>
      <c r="C87" s="157" t="s">
        <v>247</v>
      </c>
      <c r="D87" s="310"/>
      <c r="E87" s="137" t="s">
        <v>1</v>
      </c>
      <c r="F87" s="150">
        <v>650325</v>
      </c>
      <c r="G87" s="431">
        <v>577662.5</v>
      </c>
      <c r="H87" s="199" t="s">
        <v>219</v>
      </c>
      <c r="I87" s="170"/>
    </row>
    <row r="88" spans="1:9" ht="18" customHeight="1" thickBot="1">
      <c r="A88" s="326" t="s">
        <v>467</v>
      </c>
      <c r="B88" s="327"/>
      <c r="C88" s="175" t="s">
        <v>252</v>
      </c>
      <c r="D88" s="315"/>
      <c r="E88" s="147" t="s">
        <v>1</v>
      </c>
      <c r="F88" s="149">
        <v>723840</v>
      </c>
      <c r="G88" s="431">
        <v>642920</v>
      </c>
      <c r="H88" s="227" t="s">
        <v>219</v>
      </c>
      <c r="I88" s="170"/>
    </row>
    <row r="89" spans="1:9" s="108" customFormat="1" ht="16.899999999999999" customHeight="1" thickBot="1">
      <c r="A89" s="337" t="s">
        <v>51</v>
      </c>
      <c r="B89" s="338"/>
      <c r="C89" s="338"/>
      <c r="D89" s="338"/>
      <c r="E89" s="338"/>
      <c r="F89" s="338"/>
      <c r="G89" s="338"/>
      <c r="H89" s="339"/>
      <c r="I89" s="170"/>
    </row>
    <row r="90" spans="1:9" ht="18" customHeight="1">
      <c r="A90" s="346" t="s">
        <v>254</v>
      </c>
      <c r="B90" s="347"/>
      <c r="C90" s="156" t="s">
        <v>250</v>
      </c>
      <c r="D90" s="314" t="s">
        <v>460</v>
      </c>
      <c r="E90" s="146" t="s">
        <v>1</v>
      </c>
      <c r="F90" s="148">
        <v>277095</v>
      </c>
      <c r="G90" s="434">
        <v>246047.5</v>
      </c>
      <c r="H90" s="236" t="s">
        <v>219</v>
      </c>
      <c r="I90" s="170"/>
    </row>
    <row r="91" spans="1:9" ht="18" customHeight="1">
      <c r="A91" s="316" t="s">
        <v>255</v>
      </c>
      <c r="B91" s="317"/>
      <c r="C91" s="157" t="s">
        <v>251</v>
      </c>
      <c r="D91" s="310"/>
      <c r="E91" s="137" t="s">
        <v>1</v>
      </c>
      <c r="F91" s="150">
        <v>344955</v>
      </c>
      <c r="G91" s="431">
        <v>307477.5</v>
      </c>
      <c r="H91" s="199"/>
      <c r="I91" s="170"/>
    </row>
    <row r="92" spans="1:9" ht="18" customHeight="1">
      <c r="A92" s="316" t="s">
        <v>256</v>
      </c>
      <c r="B92" s="317"/>
      <c r="C92" s="157" t="s">
        <v>229</v>
      </c>
      <c r="D92" s="310"/>
      <c r="E92" s="137" t="s">
        <v>1</v>
      </c>
      <c r="F92" s="150">
        <v>460882.5</v>
      </c>
      <c r="G92" s="431">
        <v>410441.25</v>
      </c>
      <c r="H92" s="208"/>
      <c r="I92" s="170"/>
    </row>
    <row r="93" spans="1:9" ht="18" customHeight="1">
      <c r="A93" s="316" t="s">
        <v>257</v>
      </c>
      <c r="B93" s="317"/>
      <c r="C93" s="157" t="s">
        <v>246</v>
      </c>
      <c r="D93" s="310"/>
      <c r="E93" s="137" t="s">
        <v>1</v>
      </c>
      <c r="F93" s="150">
        <v>605085</v>
      </c>
      <c r="G93" s="431">
        <v>538542.5</v>
      </c>
      <c r="H93" s="208"/>
      <c r="I93" s="170"/>
    </row>
    <row r="94" spans="1:9" ht="18" customHeight="1">
      <c r="A94" s="316" t="s">
        <v>258</v>
      </c>
      <c r="B94" s="317"/>
      <c r="C94" s="157" t="s">
        <v>242</v>
      </c>
      <c r="D94" s="310"/>
      <c r="E94" s="137" t="s">
        <v>1</v>
      </c>
      <c r="F94" s="150">
        <v>729495</v>
      </c>
      <c r="G94" s="431">
        <v>648247.5</v>
      </c>
      <c r="H94" s="208"/>
      <c r="I94" s="170"/>
    </row>
    <row r="95" spans="1:9" ht="18" customHeight="1" thickBot="1">
      <c r="A95" s="326" t="s">
        <v>259</v>
      </c>
      <c r="B95" s="327"/>
      <c r="C95" s="175" t="s">
        <v>248</v>
      </c>
      <c r="D95" s="315"/>
      <c r="E95" s="147" t="s">
        <v>1</v>
      </c>
      <c r="F95" s="149">
        <v>786045</v>
      </c>
      <c r="G95" s="435">
        <v>699022.5</v>
      </c>
      <c r="H95" s="227" t="s">
        <v>219</v>
      </c>
      <c r="I95" s="170"/>
    </row>
    <row r="96" spans="1:9" ht="18" customHeight="1">
      <c r="A96" s="328" t="s">
        <v>540</v>
      </c>
      <c r="B96" s="319"/>
      <c r="C96" s="158" t="s">
        <v>250</v>
      </c>
      <c r="D96" s="320" t="s">
        <v>460</v>
      </c>
      <c r="E96" s="140" t="s">
        <v>1</v>
      </c>
      <c r="F96" s="152">
        <v>265785</v>
      </c>
      <c r="G96" s="433">
        <v>235892.5</v>
      </c>
      <c r="H96" s="248" t="s">
        <v>219</v>
      </c>
      <c r="I96" s="324"/>
    </row>
    <row r="97" spans="1:9" ht="18" customHeight="1">
      <c r="A97" s="316" t="s">
        <v>417</v>
      </c>
      <c r="B97" s="317"/>
      <c r="C97" s="157" t="s">
        <v>251</v>
      </c>
      <c r="D97" s="310"/>
      <c r="E97" s="137" t="s">
        <v>1</v>
      </c>
      <c r="F97" s="150">
        <v>322335</v>
      </c>
      <c r="G97" s="431">
        <v>286167.5</v>
      </c>
      <c r="H97" s="208" t="s">
        <v>219</v>
      </c>
      <c r="I97" s="324"/>
    </row>
    <row r="98" spans="1:9" ht="18" customHeight="1">
      <c r="A98" s="316" t="s">
        <v>424</v>
      </c>
      <c r="B98" s="317"/>
      <c r="C98" s="157" t="s">
        <v>229</v>
      </c>
      <c r="D98" s="310"/>
      <c r="E98" s="137" t="s">
        <v>1</v>
      </c>
      <c r="F98" s="150">
        <v>407160</v>
      </c>
      <c r="G98" s="431">
        <v>361080</v>
      </c>
      <c r="H98" s="208" t="s">
        <v>219</v>
      </c>
      <c r="I98" s="324"/>
    </row>
    <row r="99" spans="1:9" ht="18" customHeight="1">
      <c r="A99" s="316" t="s">
        <v>425</v>
      </c>
      <c r="B99" s="317"/>
      <c r="C99" s="157" t="s">
        <v>246</v>
      </c>
      <c r="D99" s="310"/>
      <c r="E99" s="137" t="s">
        <v>1</v>
      </c>
      <c r="F99" s="150">
        <v>554190</v>
      </c>
      <c r="G99" s="431">
        <v>491595</v>
      </c>
      <c r="H99" s="208" t="s">
        <v>219</v>
      </c>
      <c r="I99" s="324"/>
    </row>
    <row r="100" spans="1:9" ht="18" customHeight="1">
      <c r="A100" s="316" t="s">
        <v>396</v>
      </c>
      <c r="B100" s="317"/>
      <c r="C100" s="157" t="s">
        <v>242</v>
      </c>
      <c r="D100" s="310"/>
      <c r="E100" s="137" t="s">
        <v>1</v>
      </c>
      <c r="F100" s="150">
        <v>678600</v>
      </c>
      <c r="G100" s="431">
        <v>603300</v>
      </c>
      <c r="H100" s="208" t="s">
        <v>219</v>
      </c>
      <c r="I100" s="324"/>
    </row>
    <row r="101" spans="1:9" ht="18" customHeight="1" thickBot="1">
      <c r="A101" s="345" t="s">
        <v>397</v>
      </c>
      <c r="B101" s="344"/>
      <c r="C101" s="159" t="s">
        <v>248</v>
      </c>
      <c r="D101" s="318"/>
      <c r="E101" s="142" t="s">
        <v>1</v>
      </c>
      <c r="F101" s="153">
        <v>735150</v>
      </c>
      <c r="G101" s="432">
        <v>654575</v>
      </c>
      <c r="H101" s="240" t="s">
        <v>219</v>
      </c>
      <c r="I101" s="324"/>
    </row>
    <row r="102" spans="1:9" s="108" customFormat="1" ht="15" customHeight="1" thickBot="1">
      <c r="A102" s="337" t="s">
        <v>50</v>
      </c>
      <c r="B102" s="338"/>
      <c r="C102" s="338"/>
      <c r="D102" s="338"/>
      <c r="E102" s="338"/>
      <c r="F102" s="338"/>
      <c r="G102" s="338"/>
      <c r="H102" s="339"/>
      <c r="I102" s="170"/>
    </row>
    <row r="103" spans="1:9" ht="18" customHeight="1">
      <c r="A103" s="328" t="s">
        <v>265</v>
      </c>
      <c r="B103" s="319"/>
      <c r="C103" s="158" t="s">
        <v>226</v>
      </c>
      <c r="D103" s="320" t="s">
        <v>464</v>
      </c>
      <c r="E103" s="140" t="s">
        <v>1</v>
      </c>
      <c r="F103" s="152">
        <v>311025</v>
      </c>
      <c r="G103" s="433">
        <v>277012.5</v>
      </c>
      <c r="H103" s="248" t="s">
        <v>219</v>
      </c>
      <c r="I103" s="170"/>
    </row>
    <row r="104" spans="1:9" ht="18" customHeight="1">
      <c r="A104" s="316" t="s">
        <v>279</v>
      </c>
      <c r="B104" s="317"/>
      <c r="C104" s="157" t="s">
        <v>229</v>
      </c>
      <c r="D104" s="310"/>
      <c r="E104" s="137" t="s">
        <v>1</v>
      </c>
      <c r="F104" s="150">
        <v>395850</v>
      </c>
      <c r="G104" s="431">
        <v>352925</v>
      </c>
      <c r="H104" s="199" t="s">
        <v>219</v>
      </c>
      <c r="I104" s="170"/>
    </row>
    <row r="105" spans="1:9" ht="18" customHeight="1">
      <c r="A105" s="316" t="s">
        <v>264</v>
      </c>
      <c r="B105" s="317"/>
      <c r="C105" s="157" t="s">
        <v>246</v>
      </c>
      <c r="D105" s="310"/>
      <c r="E105" s="137" t="s">
        <v>1</v>
      </c>
      <c r="F105" s="150">
        <v>565500</v>
      </c>
      <c r="G105" s="431">
        <v>502750</v>
      </c>
      <c r="H105" s="199"/>
      <c r="I105" s="170"/>
    </row>
    <row r="106" spans="1:9" ht="18" customHeight="1">
      <c r="A106" s="316" t="s">
        <v>266</v>
      </c>
      <c r="B106" s="317"/>
      <c r="C106" s="157" t="s">
        <v>247</v>
      </c>
      <c r="D106" s="310"/>
      <c r="E106" s="137" t="s">
        <v>1</v>
      </c>
      <c r="F106" s="150">
        <v>678600</v>
      </c>
      <c r="G106" s="431">
        <v>604300</v>
      </c>
      <c r="H106" s="199"/>
      <c r="I106" s="170"/>
    </row>
    <row r="107" spans="1:9" ht="18" customHeight="1">
      <c r="A107" s="316" t="s">
        <v>280</v>
      </c>
      <c r="B107" s="317"/>
      <c r="C107" s="157" t="s">
        <v>248</v>
      </c>
      <c r="D107" s="310"/>
      <c r="E107" s="137" t="s">
        <v>1</v>
      </c>
      <c r="F107" s="150">
        <v>791700</v>
      </c>
      <c r="G107" s="431">
        <v>703850</v>
      </c>
      <c r="H107" s="208"/>
      <c r="I107" s="170"/>
    </row>
    <row r="108" spans="1:9" ht="18" customHeight="1">
      <c r="A108" s="316" t="s">
        <v>538</v>
      </c>
      <c r="B108" s="317"/>
      <c r="C108" s="157" t="s">
        <v>226</v>
      </c>
      <c r="D108" s="310"/>
      <c r="E108" s="137" t="s">
        <v>1</v>
      </c>
      <c r="F108" s="150">
        <v>294060</v>
      </c>
      <c r="G108" s="431">
        <v>262030</v>
      </c>
      <c r="H108" s="208"/>
      <c r="I108" s="170"/>
    </row>
    <row r="109" spans="1:9" ht="18" customHeight="1">
      <c r="A109" s="316" t="s">
        <v>431</v>
      </c>
      <c r="B109" s="317"/>
      <c r="C109" s="157" t="s">
        <v>229</v>
      </c>
      <c r="D109" s="310"/>
      <c r="E109" s="137" t="s">
        <v>1</v>
      </c>
      <c r="F109" s="150">
        <v>367575</v>
      </c>
      <c r="G109" s="431">
        <v>327287.5</v>
      </c>
      <c r="H109" s="208" t="s">
        <v>219</v>
      </c>
      <c r="I109" s="170"/>
    </row>
    <row r="110" spans="1:9" ht="18" customHeight="1">
      <c r="A110" s="316" t="s">
        <v>418</v>
      </c>
      <c r="B110" s="317"/>
      <c r="C110" s="157" t="s">
        <v>246</v>
      </c>
      <c r="D110" s="310"/>
      <c r="E110" s="137" t="s">
        <v>1</v>
      </c>
      <c r="F110" s="150">
        <v>537225</v>
      </c>
      <c r="G110" s="431">
        <v>477612.5</v>
      </c>
      <c r="H110" s="208" t="s">
        <v>219</v>
      </c>
      <c r="I110" s="171"/>
    </row>
    <row r="111" spans="1:9" ht="18" customHeight="1">
      <c r="A111" s="316" t="s">
        <v>419</v>
      </c>
      <c r="B111" s="317"/>
      <c r="C111" s="157" t="s">
        <v>247</v>
      </c>
      <c r="D111" s="310"/>
      <c r="E111" s="137" t="s">
        <v>1</v>
      </c>
      <c r="F111" s="150">
        <v>633360</v>
      </c>
      <c r="G111" s="431">
        <v>562680</v>
      </c>
      <c r="H111" s="199"/>
      <c r="I111" s="170"/>
    </row>
    <row r="112" spans="1:9" ht="18" customHeight="1">
      <c r="A112" s="316" t="s">
        <v>420</v>
      </c>
      <c r="B112" s="317"/>
      <c r="C112" s="157" t="s">
        <v>248</v>
      </c>
      <c r="D112" s="310"/>
      <c r="E112" s="137" t="s">
        <v>1</v>
      </c>
      <c r="F112" s="150">
        <v>735150</v>
      </c>
      <c r="G112" s="431">
        <v>652575</v>
      </c>
      <c r="H112" s="208" t="s">
        <v>219</v>
      </c>
      <c r="I112" s="173"/>
    </row>
    <row r="113" spans="1:9" ht="18" customHeight="1">
      <c r="A113" s="316" t="s">
        <v>472</v>
      </c>
      <c r="B113" s="317"/>
      <c r="C113" s="157" t="s">
        <v>247</v>
      </c>
      <c r="D113" s="310" t="s">
        <v>465</v>
      </c>
      <c r="E113" s="137" t="s">
        <v>1</v>
      </c>
      <c r="F113" s="150">
        <v>763425</v>
      </c>
      <c r="G113" s="431">
        <v>677712.5</v>
      </c>
      <c r="H113" s="199"/>
      <c r="I113" s="170"/>
    </row>
    <row r="114" spans="1:9" ht="18" customHeight="1">
      <c r="A114" s="316" t="s">
        <v>441</v>
      </c>
      <c r="B114" s="317"/>
      <c r="C114" s="157" t="s">
        <v>248</v>
      </c>
      <c r="D114" s="310"/>
      <c r="E114" s="137" t="s">
        <v>1</v>
      </c>
      <c r="F114" s="150">
        <v>819975</v>
      </c>
      <c r="G114" s="431">
        <v>727987.5</v>
      </c>
      <c r="H114" s="199"/>
      <c r="I114" s="170"/>
    </row>
    <row r="115" spans="1:9" ht="18" customHeight="1">
      <c r="A115" s="316" t="s">
        <v>398</v>
      </c>
      <c r="B115" s="317"/>
      <c r="C115" s="157" t="s">
        <v>247</v>
      </c>
      <c r="D115" s="310"/>
      <c r="E115" s="137" t="s">
        <v>1</v>
      </c>
      <c r="F115" s="150">
        <v>735150</v>
      </c>
      <c r="G115" s="431">
        <v>652575</v>
      </c>
      <c r="H115" s="199"/>
      <c r="I115" s="170"/>
    </row>
    <row r="116" spans="1:9" ht="18" customHeight="1">
      <c r="A116" s="316" t="s">
        <v>459</v>
      </c>
      <c r="B116" s="317"/>
      <c r="C116" s="157" t="s">
        <v>248</v>
      </c>
      <c r="D116" s="310"/>
      <c r="E116" s="137"/>
      <c r="F116" s="150">
        <v>791700</v>
      </c>
      <c r="G116" s="431">
        <v>703350</v>
      </c>
      <c r="H116" s="208" t="s">
        <v>219</v>
      </c>
      <c r="I116" s="170"/>
    </row>
    <row r="117" spans="1:9" ht="18" customHeight="1">
      <c r="A117" s="316" t="s">
        <v>260</v>
      </c>
      <c r="B117" s="317"/>
      <c r="C117" s="157" t="s">
        <v>244</v>
      </c>
      <c r="D117" s="310" t="s">
        <v>466</v>
      </c>
      <c r="E117" s="137" t="s">
        <v>1</v>
      </c>
      <c r="F117" s="150">
        <v>1498561.7725000002</v>
      </c>
      <c r="G117" s="431">
        <v>1330280.88625</v>
      </c>
      <c r="H117" s="226" t="s">
        <v>219</v>
      </c>
      <c r="I117" s="170"/>
    </row>
    <row r="118" spans="1:9" ht="18" customHeight="1">
      <c r="A118" s="316" t="s">
        <v>222</v>
      </c>
      <c r="B118" s="317"/>
      <c r="C118" s="157" t="s">
        <v>245</v>
      </c>
      <c r="D118" s="310"/>
      <c r="E118" s="137" t="s">
        <v>1</v>
      </c>
      <c r="F118" s="150">
        <v>1880366.67</v>
      </c>
      <c r="G118" s="431">
        <v>1670183.335</v>
      </c>
      <c r="H118" s="208" t="s">
        <v>724</v>
      </c>
      <c r="I118" s="170"/>
    </row>
    <row r="119" spans="1:9" ht="18" customHeight="1">
      <c r="A119" s="316" t="s">
        <v>223</v>
      </c>
      <c r="B119" s="317"/>
      <c r="C119" s="157" t="s">
        <v>249</v>
      </c>
      <c r="D119" s="310"/>
      <c r="E119" s="137" t="s">
        <v>1</v>
      </c>
      <c r="F119" s="150">
        <v>2021097</v>
      </c>
      <c r="G119" s="431">
        <v>1795548.5</v>
      </c>
      <c r="H119" s="208"/>
      <c r="I119" s="170"/>
    </row>
    <row r="120" spans="1:9" ht="18" customHeight="1">
      <c r="A120" s="316" t="s">
        <v>302</v>
      </c>
      <c r="B120" s="317"/>
      <c r="C120" s="157" t="s">
        <v>304</v>
      </c>
      <c r="D120" s="310"/>
      <c r="E120" s="137" t="s">
        <v>1</v>
      </c>
      <c r="F120" s="150">
        <v>2967212.43</v>
      </c>
      <c r="G120" s="431">
        <v>2633606.2149999999</v>
      </c>
      <c r="H120" s="226" t="s">
        <v>724</v>
      </c>
      <c r="I120" s="170"/>
    </row>
    <row r="121" spans="1:9" ht="18" customHeight="1" thickBot="1">
      <c r="A121" s="345" t="s">
        <v>303</v>
      </c>
      <c r="B121" s="344"/>
      <c r="C121" s="159" t="s">
        <v>305</v>
      </c>
      <c r="D121" s="318"/>
      <c r="E121" s="142" t="s">
        <v>1</v>
      </c>
      <c r="F121" s="153">
        <v>3315497.0940000005</v>
      </c>
      <c r="G121" s="432">
        <v>2952748.5470000003</v>
      </c>
      <c r="H121" s="240" t="s">
        <v>219</v>
      </c>
      <c r="I121" s="170"/>
    </row>
    <row r="122" spans="1:9" ht="16.149999999999999" customHeight="1" thickBot="1">
      <c r="A122" s="337" t="s">
        <v>469</v>
      </c>
      <c r="B122" s="338"/>
      <c r="C122" s="338"/>
      <c r="D122" s="338"/>
      <c r="E122" s="338"/>
      <c r="F122" s="338"/>
      <c r="G122" s="338"/>
      <c r="H122" s="339"/>
      <c r="I122" s="170"/>
    </row>
    <row r="123" spans="1:9" ht="30" customHeight="1" thickBot="1">
      <c r="A123" s="353" t="s">
        <v>474</v>
      </c>
      <c r="B123" s="354"/>
      <c r="C123" s="165"/>
      <c r="D123" s="164" t="s">
        <v>470</v>
      </c>
      <c r="E123" s="164" t="s">
        <v>1</v>
      </c>
      <c r="F123" s="166">
        <v>19452.069000000003</v>
      </c>
      <c r="G123" s="431">
        <v>18726.034500000002</v>
      </c>
      <c r="H123" s="242"/>
      <c r="I123" s="170"/>
    </row>
    <row r="124" spans="1:9" s="108" customFormat="1" ht="12.75" customHeight="1" thickBot="1">
      <c r="A124" s="337" t="s">
        <v>585</v>
      </c>
      <c r="B124" s="338"/>
      <c r="C124" s="338"/>
      <c r="D124" s="338"/>
      <c r="E124" s="338"/>
      <c r="F124" s="338"/>
      <c r="G124" s="338"/>
      <c r="H124" s="339"/>
      <c r="I124" s="170"/>
    </row>
    <row r="125" spans="1:9" ht="15" customHeight="1">
      <c r="A125" s="328" t="s">
        <v>69</v>
      </c>
      <c r="B125" s="319"/>
      <c r="C125" s="158" t="s">
        <v>261</v>
      </c>
      <c r="D125" s="140" t="s">
        <v>352</v>
      </c>
      <c r="E125" s="140" t="s">
        <v>1</v>
      </c>
      <c r="F125" s="152">
        <v>2050186.3200000003</v>
      </c>
      <c r="G125" s="431">
        <v>1820093.1600000001</v>
      </c>
      <c r="H125" s="243" t="s">
        <v>219</v>
      </c>
      <c r="I125" s="170"/>
    </row>
    <row r="126" spans="1:9" ht="15" customHeight="1">
      <c r="A126" s="316" t="s">
        <v>71</v>
      </c>
      <c r="B126" s="317"/>
      <c r="C126" s="157" t="s">
        <v>262</v>
      </c>
      <c r="D126" s="137" t="s">
        <v>353</v>
      </c>
      <c r="E126" s="137" t="s">
        <v>1</v>
      </c>
      <c r="F126" s="152">
        <v>3489021.9</v>
      </c>
      <c r="G126" s="431">
        <v>3097010.95</v>
      </c>
      <c r="H126" s="244"/>
      <c r="I126" s="170"/>
    </row>
    <row r="127" spans="1:9" ht="15" customHeight="1">
      <c r="A127" s="316" t="s">
        <v>282</v>
      </c>
      <c r="B127" s="317"/>
      <c r="C127" s="157" t="s">
        <v>283</v>
      </c>
      <c r="D127" s="137" t="s">
        <v>354</v>
      </c>
      <c r="E127" s="137" t="s">
        <v>1</v>
      </c>
      <c r="F127" s="152">
        <v>5432993.7479999997</v>
      </c>
      <c r="G127" s="431">
        <v>4821496.8739999998</v>
      </c>
      <c r="H127" s="208"/>
      <c r="I127" s="170"/>
    </row>
    <row r="128" spans="1:9" ht="15" customHeight="1" thickBot="1">
      <c r="A128" s="345" t="s">
        <v>311</v>
      </c>
      <c r="B128" s="344"/>
      <c r="C128" s="159" t="s">
        <v>312</v>
      </c>
      <c r="D128" s="142" t="s">
        <v>355</v>
      </c>
      <c r="E128" s="142" t="s">
        <v>1</v>
      </c>
      <c r="F128" s="152">
        <v>7099696.4220000012</v>
      </c>
      <c r="G128" s="431">
        <v>6289848.2110000011</v>
      </c>
      <c r="H128" s="245"/>
      <c r="I128" s="170"/>
    </row>
    <row r="129" spans="1:9" ht="15" customHeight="1" thickBot="1">
      <c r="A129" s="337" t="s">
        <v>586</v>
      </c>
      <c r="B129" s="338"/>
      <c r="C129" s="338"/>
      <c r="D129" s="338"/>
      <c r="E129" s="338"/>
      <c r="F129" s="338"/>
      <c r="G129" s="338"/>
      <c r="H129" s="339"/>
      <c r="I129" s="170"/>
    </row>
    <row r="130" spans="1:9" ht="15" customHeight="1">
      <c r="A130" s="335" t="s">
        <v>560</v>
      </c>
      <c r="B130" s="336"/>
      <c r="C130" s="184"/>
      <c r="D130" s="157" t="s">
        <v>563</v>
      </c>
      <c r="E130" s="137" t="s">
        <v>1</v>
      </c>
      <c r="F130" s="150">
        <v>1175769.5040000002</v>
      </c>
      <c r="G130" s="431">
        <v>1047884.7520000001</v>
      </c>
      <c r="H130" s="246"/>
      <c r="I130" s="170"/>
    </row>
    <row r="131" spans="1:9" ht="15" customHeight="1" thickBot="1">
      <c r="A131" s="367" t="s">
        <v>571</v>
      </c>
      <c r="B131" s="368"/>
      <c r="C131" s="185"/>
      <c r="D131" s="175" t="s">
        <v>572</v>
      </c>
      <c r="E131" s="147" t="s">
        <v>1</v>
      </c>
      <c r="F131" s="149">
        <v>1892254.0455</v>
      </c>
      <c r="G131" s="431">
        <v>1681127.02275</v>
      </c>
      <c r="H131" s="247"/>
      <c r="I131" s="170"/>
    </row>
    <row r="132" spans="1:9" s="108" customFormat="1" ht="16.899999999999999" customHeight="1" thickBot="1">
      <c r="A132" s="337" t="s">
        <v>587</v>
      </c>
      <c r="B132" s="338"/>
      <c r="C132" s="338"/>
      <c r="D132" s="338"/>
      <c r="E132" s="338"/>
      <c r="F132" s="338"/>
      <c r="G132" s="338"/>
      <c r="H132" s="339"/>
      <c r="I132" s="170"/>
    </row>
    <row r="133" spans="1:9" s="108" customFormat="1" ht="16.899999999999999" customHeight="1">
      <c r="A133" s="328" t="s">
        <v>479</v>
      </c>
      <c r="B133" s="319"/>
      <c r="C133" s="320" t="s">
        <v>480</v>
      </c>
      <c r="D133" s="320"/>
      <c r="E133" s="140" t="s">
        <v>1</v>
      </c>
      <c r="F133" s="152">
        <v>289762.2</v>
      </c>
      <c r="G133" s="431">
        <v>289762.2</v>
      </c>
      <c r="H133" s="248"/>
      <c r="I133" s="170"/>
    </row>
    <row r="134" spans="1:9" s="108" customFormat="1" ht="16.899999999999999" customHeight="1">
      <c r="A134" s="328" t="s">
        <v>432</v>
      </c>
      <c r="B134" s="319"/>
      <c r="C134" s="320" t="s">
        <v>433</v>
      </c>
      <c r="D134" s="320"/>
      <c r="E134" s="140" t="s">
        <v>1</v>
      </c>
      <c r="F134" s="152">
        <v>478582.65</v>
      </c>
      <c r="G134" s="431">
        <v>478582.65</v>
      </c>
      <c r="H134" s="248" t="s">
        <v>219</v>
      </c>
      <c r="I134" s="170"/>
    </row>
    <row r="135" spans="1:9" s="108" customFormat="1" ht="16.899999999999999" customHeight="1">
      <c r="A135" s="328" t="s">
        <v>496</v>
      </c>
      <c r="B135" s="319"/>
      <c r="C135" s="320" t="s">
        <v>503</v>
      </c>
      <c r="D135" s="320"/>
      <c r="E135" s="140" t="s">
        <v>1</v>
      </c>
      <c r="F135" s="152">
        <v>512427.82500000001</v>
      </c>
      <c r="G135" s="431">
        <v>512427.82500000001</v>
      </c>
      <c r="H135" s="248" t="s">
        <v>219</v>
      </c>
      <c r="I135" s="170"/>
    </row>
    <row r="136" spans="1:9" s="108" customFormat="1" ht="16.899999999999999" customHeight="1">
      <c r="A136" s="328" t="s">
        <v>481</v>
      </c>
      <c r="B136" s="319"/>
      <c r="C136" s="320" t="s">
        <v>482</v>
      </c>
      <c r="D136" s="320"/>
      <c r="E136" s="140" t="s">
        <v>1</v>
      </c>
      <c r="F136" s="152">
        <v>613963.35</v>
      </c>
      <c r="G136" s="431">
        <v>613963.35</v>
      </c>
      <c r="H136" s="248"/>
      <c r="I136" s="170"/>
    </row>
    <row r="137" spans="1:9" ht="16.899999999999999" customHeight="1">
      <c r="A137" s="328" t="s">
        <v>267</v>
      </c>
      <c r="B137" s="319"/>
      <c r="C137" s="320" t="s">
        <v>434</v>
      </c>
      <c r="D137" s="320"/>
      <c r="E137" s="140" t="s">
        <v>1</v>
      </c>
      <c r="F137" s="152">
        <v>1507594.7250000001</v>
      </c>
      <c r="G137" s="431">
        <v>1507594.7250000001</v>
      </c>
      <c r="H137" s="248"/>
      <c r="I137" s="170"/>
    </row>
    <row r="138" spans="1:9" ht="16.899999999999999" customHeight="1">
      <c r="A138" s="316" t="s">
        <v>268</v>
      </c>
      <c r="B138" s="317"/>
      <c r="C138" s="310" t="s">
        <v>435</v>
      </c>
      <c r="D138" s="310"/>
      <c r="E138" s="137" t="s">
        <v>1</v>
      </c>
      <c r="F138" s="152">
        <v>1558065.6</v>
      </c>
      <c r="G138" s="431">
        <v>1558065.6</v>
      </c>
      <c r="H138" s="226"/>
      <c r="I138" s="170"/>
    </row>
    <row r="139" spans="1:9" ht="16.899999999999999" customHeight="1" thickBot="1">
      <c r="A139" s="345" t="s">
        <v>269</v>
      </c>
      <c r="B139" s="344"/>
      <c r="C139" s="318" t="s">
        <v>436</v>
      </c>
      <c r="D139" s="318"/>
      <c r="E139" s="142" t="s">
        <v>1</v>
      </c>
      <c r="F139" s="152">
        <v>1797356.925</v>
      </c>
      <c r="G139" s="431">
        <v>1797356.925</v>
      </c>
      <c r="H139" s="241" t="s">
        <v>219</v>
      </c>
      <c r="I139" s="170"/>
    </row>
    <row r="140" spans="1:9" ht="16.899999999999999" hidden="1" customHeight="1">
      <c r="A140" s="345" t="s">
        <v>498</v>
      </c>
      <c r="B140" s="344"/>
      <c r="C140" s="318" t="s">
        <v>497</v>
      </c>
      <c r="D140" s="318"/>
      <c r="E140" s="142" t="s">
        <v>1</v>
      </c>
      <c r="F140" s="152" t="e">
        <f>G140*1.3</f>
        <v>#REF!</v>
      </c>
      <c r="G140" s="153" t="e">
        <f>4116*#REF!</f>
        <v>#REF!</v>
      </c>
      <c r="H140" s="248" t="s">
        <v>524</v>
      </c>
      <c r="I140" s="170"/>
    </row>
    <row r="141" spans="1:9" ht="16.899999999999999" hidden="1" customHeight="1">
      <c r="A141" s="345" t="s">
        <v>499</v>
      </c>
      <c r="B141" s="344"/>
      <c r="C141" s="318" t="s">
        <v>504</v>
      </c>
      <c r="D141" s="318"/>
      <c r="E141" s="142" t="s">
        <v>1</v>
      </c>
      <c r="F141" s="152" t="e">
        <f>G141*1.3</f>
        <v>#REF!</v>
      </c>
      <c r="G141" s="153" t="e">
        <f>5192.25*#REF!</f>
        <v>#REF!</v>
      </c>
      <c r="H141" s="248" t="s">
        <v>524</v>
      </c>
      <c r="I141" s="170"/>
    </row>
    <row r="142" spans="1:9" ht="16.899999999999999" hidden="1" customHeight="1">
      <c r="A142" s="345" t="s">
        <v>500</v>
      </c>
      <c r="B142" s="344"/>
      <c r="C142" s="318" t="s">
        <v>505</v>
      </c>
      <c r="D142" s="318"/>
      <c r="E142" s="142" t="s">
        <v>1</v>
      </c>
      <c r="F142" s="152" t="e">
        <f>G142*1.3</f>
        <v>#REF!</v>
      </c>
      <c r="G142" s="153" t="e">
        <f>5436.9*#REF!</f>
        <v>#REF!</v>
      </c>
      <c r="H142" s="248" t="s">
        <v>524</v>
      </c>
      <c r="I142" s="170"/>
    </row>
    <row r="143" spans="1:9" ht="16.899999999999999" hidden="1" customHeight="1">
      <c r="A143" s="345" t="s">
        <v>501</v>
      </c>
      <c r="B143" s="344"/>
      <c r="C143" s="318" t="s">
        <v>506</v>
      </c>
      <c r="D143" s="318"/>
      <c r="E143" s="142" t="s">
        <v>1</v>
      </c>
      <c r="F143" s="152" t="e">
        <f>G143*1.3</f>
        <v>#REF!</v>
      </c>
      <c r="G143" s="153" t="e">
        <f>6033.3*#REF!</f>
        <v>#REF!</v>
      </c>
      <c r="H143" s="248" t="s">
        <v>524</v>
      </c>
      <c r="I143" s="170"/>
    </row>
    <row r="144" spans="1:9" ht="16.899999999999999" hidden="1" customHeight="1" thickBot="1">
      <c r="A144" s="345" t="s">
        <v>502</v>
      </c>
      <c r="B144" s="344"/>
      <c r="C144" s="318" t="s">
        <v>507</v>
      </c>
      <c r="D144" s="318"/>
      <c r="E144" s="142" t="s">
        <v>1</v>
      </c>
      <c r="F144" s="152" t="e">
        <f>G144*1.3</f>
        <v>#REF!</v>
      </c>
      <c r="G144" s="153" t="e">
        <f>8976.45*#REF!</f>
        <v>#REF!</v>
      </c>
      <c r="H144" s="248" t="s">
        <v>524</v>
      </c>
      <c r="I144" s="170"/>
    </row>
    <row r="145" spans="1:9" s="108" customFormat="1" ht="16.899999999999999" customHeight="1" thickBot="1">
      <c r="A145" s="337" t="s">
        <v>273</v>
      </c>
      <c r="B145" s="338"/>
      <c r="C145" s="338"/>
      <c r="D145" s="338"/>
      <c r="E145" s="338"/>
      <c r="F145" s="338"/>
      <c r="G145" s="338"/>
      <c r="H145" s="339"/>
      <c r="I145" s="170"/>
    </row>
    <row r="146" spans="1:9" s="108" customFormat="1" ht="16.899999999999999" customHeight="1">
      <c r="A146" s="346" t="s">
        <v>508</v>
      </c>
      <c r="B146" s="347"/>
      <c r="C146" s="314" t="s">
        <v>510</v>
      </c>
      <c r="D146" s="314"/>
      <c r="E146" s="156" t="s">
        <v>66</v>
      </c>
      <c r="F146" s="148">
        <v>106831.99799999999</v>
      </c>
      <c r="G146" s="431">
        <v>106831.99799999999</v>
      </c>
      <c r="H146" s="225" t="s">
        <v>524</v>
      </c>
      <c r="I146" s="170"/>
    </row>
    <row r="147" spans="1:9" s="108" customFormat="1" ht="16.899999999999999" customHeight="1">
      <c r="A147" s="328" t="s">
        <v>509</v>
      </c>
      <c r="B147" s="319"/>
      <c r="C147" s="320" t="s">
        <v>511</v>
      </c>
      <c r="D147" s="320"/>
      <c r="E147" s="158" t="s">
        <v>66</v>
      </c>
      <c r="F147" s="152">
        <v>114242.31000000001</v>
      </c>
      <c r="G147" s="431">
        <v>114242.31000000001</v>
      </c>
      <c r="H147" s="248" t="s">
        <v>524</v>
      </c>
      <c r="I147" s="170"/>
    </row>
    <row r="148" spans="1:9" s="108" customFormat="1" ht="16.899999999999999" customHeight="1">
      <c r="A148" s="328" t="s">
        <v>437</v>
      </c>
      <c r="B148" s="319"/>
      <c r="C148" s="320" t="s">
        <v>439</v>
      </c>
      <c r="D148" s="320"/>
      <c r="E148" s="158" t="s">
        <v>66</v>
      </c>
      <c r="F148" s="152">
        <v>104361.89400000001</v>
      </c>
      <c r="G148" s="431">
        <v>104361.89400000001</v>
      </c>
      <c r="H148" s="249"/>
      <c r="I148" s="170"/>
    </row>
    <row r="149" spans="1:9" s="108" customFormat="1" ht="16.899999999999999" customHeight="1">
      <c r="A149" s="328" t="s">
        <v>438</v>
      </c>
      <c r="B149" s="319"/>
      <c r="C149" s="320" t="s">
        <v>440</v>
      </c>
      <c r="D149" s="320"/>
      <c r="E149" s="158" t="s">
        <v>66</v>
      </c>
      <c r="F149" s="152">
        <v>151293.87000000002</v>
      </c>
      <c r="G149" s="431">
        <v>151293.87000000002</v>
      </c>
      <c r="H149" s="249"/>
      <c r="I149" s="170"/>
    </row>
    <row r="150" spans="1:9" s="108" customFormat="1" ht="16.899999999999999" customHeight="1">
      <c r="A150" s="328" t="s">
        <v>512</v>
      </c>
      <c r="B150" s="319"/>
      <c r="C150" s="320" t="s">
        <v>514</v>
      </c>
      <c r="D150" s="320"/>
      <c r="E150" s="158" t="s">
        <v>66</v>
      </c>
      <c r="F150" s="152">
        <v>160556.76</v>
      </c>
      <c r="G150" s="431">
        <v>160556.76</v>
      </c>
      <c r="H150" s="241" t="s">
        <v>219</v>
      </c>
      <c r="I150" s="170"/>
    </row>
    <row r="151" spans="1:9" s="108" customFormat="1" ht="16.899999999999999" customHeight="1">
      <c r="A151" s="328" t="s">
        <v>513</v>
      </c>
      <c r="B151" s="319"/>
      <c r="C151" s="320" t="s">
        <v>515</v>
      </c>
      <c r="D151" s="320"/>
      <c r="E151" s="158" t="s">
        <v>66</v>
      </c>
      <c r="F151" s="152">
        <v>197925</v>
      </c>
      <c r="G151" s="431">
        <v>197925</v>
      </c>
      <c r="H151" s="248"/>
      <c r="I151" s="170"/>
    </row>
    <row r="152" spans="1:9" ht="16.899999999999999" customHeight="1">
      <c r="A152" s="328" t="s">
        <v>270</v>
      </c>
      <c r="B152" s="319"/>
      <c r="C152" s="320" t="s">
        <v>275</v>
      </c>
      <c r="D152" s="320"/>
      <c r="E152" s="158" t="s">
        <v>66</v>
      </c>
      <c r="F152" s="152">
        <v>230954.72400000002</v>
      </c>
      <c r="G152" s="431">
        <v>230954.72400000002</v>
      </c>
      <c r="H152" s="249"/>
      <c r="I152" s="170"/>
    </row>
    <row r="153" spans="1:9" ht="16.899999999999999" customHeight="1">
      <c r="A153" s="316" t="s">
        <v>271</v>
      </c>
      <c r="B153" s="317"/>
      <c r="C153" s="310" t="s">
        <v>276</v>
      </c>
      <c r="D153" s="310"/>
      <c r="E153" s="157" t="s">
        <v>66</v>
      </c>
      <c r="F153" s="152">
        <v>264301.12800000003</v>
      </c>
      <c r="G153" s="431">
        <v>264301.12800000003</v>
      </c>
      <c r="H153" s="226"/>
      <c r="I153" s="170"/>
    </row>
    <row r="154" spans="1:9" ht="16.899999999999999" customHeight="1">
      <c r="A154" s="345" t="s">
        <v>272</v>
      </c>
      <c r="B154" s="344"/>
      <c r="C154" s="318" t="s">
        <v>277</v>
      </c>
      <c r="D154" s="318"/>
      <c r="E154" s="159" t="s">
        <v>66</v>
      </c>
      <c r="F154" s="152">
        <v>165496.4025</v>
      </c>
      <c r="G154" s="431">
        <v>165496.4025</v>
      </c>
      <c r="H154" s="208"/>
      <c r="I154" s="170"/>
    </row>
    <row r="155" spans="1:9" ht="16.899999999999999" hidden="1" customHeight="1">
      <c r="A155" s="345" t="s">
        <v>516</v>
      </c>
      <c r="B155" s="344"/>
      <c r="C155" s="318" t="s">
        <v>520</v>
      </c>
      <c r="D155" s="318"/>
      <c r="E155" s="159" t="s">
        <v>66</v>
      </c>
      <c r="F155" s="152" t="e">
        <f>G155*1.3</f>
        <v>#REF!</v>
      </c>
      <c r="G155" s="153" t="e">
        <f>540.54*#REF!</f>
        <v>#REF!</v>
      </c>
      <c r="H155" s="248" t="s">
        <v>524</v>
      </c>
      <c r="I155" s="170"/>
    </row>
    <row r="156" spans="1:9" ht="16.899999999999999" hidden="1" customHeight="1">
      <c r="A156" s="345" t="s">
        <v>517</v>
      </c>
      <c r="B156" s="344"/>
      <c r="C156" s="318" t="s">
        <v>521</v>
      </c>
      <c r="D156" s="318"/>
      <c r="E156" s="159" t="s">
        <v>66</v>
      </c>
      <c r="F156" s="152" t="e">
        <f>G156*1.3</f>
        <v>#REF!</v>
      </c>
      <c r="G156" s="153" t="e">
        <f>832.104*#REF!</f>
        <v>#REF!</v>
      </c>
      <c r="H156" s="248" t="s">
        <v>524</v>
      </c>
      <c r="I156" s="170"/>
    </row>
    <row r="157" spans="1:9" ht="16.899999999999999" hidden="1" customHeight="1">
      <c r="A157" s="345" t="s">
        <v>518</v>
      </c>
      <c r="B157" s="344"/>
      <c r="C157" s="318" t="s">
        <v>522</v>
      </c>
      <c r="D157" s="318"/>
      <c r="E157" s="159" t="s">
        <v>66</v>
      </c>
      <c r="F157" s="152" t="e">
        <f>G157*1.3</f>
        <v>#REF!</v>
      </c>
      <c r="G157" s="153" t="e">
        <f>841.932*#REF!</f>
        <v>#REF!</v>
      </c>
      <c r="H157" s="248" t="s">
        <v>524</v>
      </c>
      <c r="I157" s="170"/>
    </row>
    <row r="158" spans="1:9" ht="16.899999999999999" hidden="1" customHeight="1" thickBot="1">
      <c r="A158" s="326" t="s">
        <v>519</v>
      </c>
      <c r="B158" s="327"/>
      <c r="C158" s="315" t="s">
        <v>523</v>
      </c>
      <c r="D158" s="315"/>
      <c r="E158" s="175" t="s">
        <v>66</v>
      </c>
      <c r="F158" s="186" t="e">
        <f>G158*1.3</f>
        <v>#REF!</v>
      </c>
      <c r="G158" s="149" t="e">
        <f>929.29*#REF!</f>
        <v>#REF!</v>
      </c>
      <c r="H158" s="250" t="s">
        <v>524</v>
      </c>
      <c r="I158" s="170"/>
    </row>
    <row r="159" spans="1:9" ht="16.899999999999999" hidden="1" customHeight="1" thickBot="1">
      <c r="A159" s="340" t="s">
        <v>653</v>
      </c>
      <c r="B159" s="341"/>
      <c r="C159" s="341"/>
      <c r="D159" s="341"/>
      <c r="E159" s="341"/>
      <c r="F159" s="341"/>
      <c r="G159" s="341"/>
      <c r="H159" s="342"/>
      <c r="I159" s="170"/>
    </row>
    <row r="160" spans="1:9" ht="51" hidden="1">
      <c r="A160" s="346" t="s">
        <v>561</v>
      </c>
      <c r="B160" s="347"/>
      <c r="C160" s="177" t="s">
        <v>562</v>
      </c>
      <c r="D160" s="144" t="s">
        <v>628</v>
      </c>
      <c r="E160" s="156" t="s">
        <v>66</v>
      </c>
      <c r="F160" s="148">
        <v>12825540</v>
      </c>
      <c r="G160" s="152" t="s">
        <v>748</v>
      </c>
      <c r="H160" s="225"/>
      <c r="I160" s="170"/>
    </row>
    <row r="161" spans="1:9" ht="51" hidden="1" customHeight="1" thickBot="1">
      <c r="A161" s="326" t="s">
        <v>566</v>
      </c>
      <c r="B161" s="327"/>
      <c r="C161" s="188" t="s">
        <v>567</v>
      </c>
      <c r="D161" s="145" t="s">
        <v>628</v>
      </c>
      <c r="E161" s="175" t="s">
        <v>66</v>
      </c>
      <c r="F161" s="149">
        <v>16768206</v>
      </c>
      <c r="G161" s="152" t="s">
        <v>748</v>
      </c>
      <c r="H161" s="233" t="s">
        <v>219</v>
      </c>
      <c r="I161" s="170"/>
    </row>
    <row r="162" spans="1:9" ht="16.899999999999999" hidden="1" customHeight="1" thickBot="1">
      <c r="A162" s="360" t="s">
        <v>654</v>
      </c>
      <c r="B162" s="361"/>
      <c r="C162" s="361"/>
      <c r="D162" s="361"/>
      <c r="E162" s="361"/>
      <c r="F162" s="361"/>
      <c r="G162" s="361"/>
      <c r="H162" s="362"/>
      <c r="I162" s="170"/>
    </row>
    <row r="163" spans="1:9" ht="45" hidden="1" customHeight="1" thickBot="1">
      <c r="A163" s="346" t="s">
        <v>542</v>
      </c>
      <c r="B163" s="347"/>
      <c r="C163" s="178" t="s">
        <v>590</v>
      </c>
      <c r="D163" s="192" t="s">
        <v>623</v>
      </c>
      <c r="E163" s="146" t="s">
        <v>1</v>
      </c>
      <c r="F163" s="148">
        <v>152243.91000000003</v>
      </c>
      <c r="G163" s="152" t="s">
        <v>748</v>
      </c>
      <c r="H163" s="225"/>
      <c r="I163" s="170"/>
    </row>
    <row r="164" spans="1:9" ht="45" hidden="1" customHeight="1" thickBot="1">
      <c r="A164" s="383" t="s">
        <v>714</v>
      </c>
      <c r="B164" s="384"/>
      <c r="C164" s="221" t="s">
        <v>725</v>
      </c>
      <c r="D164" s="222" t="s">
        <v>623</v>
      </c>
      <c r="E164" s="219" t="s">
        <v>1</v>
      </c>
      <c r="F164" s="220">
        <v>165126</v>
      </c>
      <c r="G164" s="152" t="s">
        <v>748</v>
      </c>
      <c r="H164" s="251"/>
      <c r="I164" s="170"/>
    </row>
    <row r="165" spans="1:9" ht="45" hidden="1">
      <c r="A165" s="328" t="s">
        <v>543</v>
      </c>
      <c r="B165" s="319"/>
      <c r="C165" s="217" t="s">
        <v>589</v>
      </c>
      <c r="D165" s="218" t="s">
        <v>624</v>
      </c>
      <c r="E165" s="140" t="s">
        <v>1</v>
      </c>
      <c r="F165" s="152">
        <v>172646.019</v>
      </c>
      <c r="G165" s="152" t="s">
        <v>748</v>
      </c>
      <c r="H165" s="248"/>
      <c r="I165" s="170"/>
    </row>
    <row r="166" spans="1:9" ht="45" hidden="1">
      <c r="A166" s="316" t="s">
        <v>544</v>
      </c>
      <c r="B166" s="317"/>
      <c r="C166" s="163" t="s">
        <v>591</v>
      </c>
      <c r="D166" s="191" t="s">
        <v>622</v>
      </c>
      <c r="E166" s="137" t="s">
        <v>1</v>
      </c>
      <c r="F166" s="150">
        <v>210861.378</v>
      </c>
      <c r="G166" s="152" t="s">
        <v>748</v>
      </c>
      <c r="H166" s="199"/>
      <c r="I166" s="170"/>
    </row>
    <row r="167" spans="1:9" ht="45" hidden="1">
      <c r="A167" s="316" t="s">
        <v>545</v>
      </c>
      <c r="B167" s="317"/>
      <c r="C167" s="163" t="s">
        <v>592</v>
      </c>
      <c r="D167" s="191" t="s">
        <v>622</v>
      </c>
      <c r="E167" s="137" t="s">
        <v>1</v>
      </c>
      <c r="F167" s="150">
        <v>219894.67500000002</v>
      </c>
      <c r="G167" s="152" t="s">
        <v>748</v>
      </c>
      <c r="H167" s="199"/>
      <c r="I167" s="170"/>
    </row>
    <row r="168" spans="1:9" ht="45" hidden="1">
      <c r="A168" s="316" t="s">
        <v>546</v>
      </c>
      <c r="B168" s="317"/>
      <c r="C168" s="163" t="s">
        <v>593</v>
      </c>
      <c r="D168" s="191" t="s">
        <v>622</v>
      </c>
      <c r="E168" s="137" t="s">
        <v>1</v>
      </c>
      <c r="F168" s="150">
        <v>237956.74500000002</v>
      </c>
      <c r="G168" s="152" t="s">
        <v>748</v>
      </c>
      <c r="H168" s="199"/>
      <c r="I168" s="170"/>
    </row>
    <row r="169" spans="1:9" ht="45" hidden="1">
      <c r="A169" s="316" t="s">
        <v>547</v>
      </c>
      <c r="B169" s="317"/>
      <c r="C169" s="163" t="s">
        <v>594</v>
      </c>
      <c r="D169" s="191" t="s">
        <v>622</v>
      </c>
      <c r="E169" s="137" t="s">
        <v>1</v>
      </c>
      <c r="F169" s="150">
        <v>244980.25499999998</v>
      </c>
      <c r="G169" s="152" t="s">
        <v>748</v>
      </c>
      <c r="H169" s="199"/>
      <c r="I169" s="170"/>
    </row>
    <row r="170" spans="1:9" ht="45" hidden="1">
      <c r="A170" s="316" t="s">
        <v>548</v>
      </c>
      <c r="B170" s="317"/>
      <c r="C170" s="163" t="s">
        <v>595</v>
      </c>
      <c r="D170" s="191" t="s">
        <v>622</v>
      </c>
      <c r="E170" s="137" t="s">
        <v>1</v>
      </c>
      <c r="F170" s="150">
        <v>253010.35500000001</v>
      </c>
      <c r="G170" s="152" t="s">
        <v>748</v>
      </c>
      <c r="H170" s="199"/>
      <c r="I170" s="170"/>
    </row>
    <row r="171" spans="1:9" ht="23.25" hidden="1" customHeight="1">
      <c r="A171" s="373" t="s">
        <v>712</v>
      </c>
      <c r="B171" s="374"/>
      <c r="C171" s="211" t="s">
        <v>721</v>
      </c>
      <c r="D171" s="212" t="s">
        <v>720</v>
      </c>
      <c r="E171" s="210" t="s">
        <v>1</v>
      </c>
      <c r="F171" s="162">
        <v>251082</v>
      </c>
      <c r="G171" s="152" t="s">
        <v>748</v>
      </c>
      <c r="H171" s="252"/>
      <c r="I171" s="170"/>
    </row>
    <row r="172" spans="1:9" ht="45" hidden="1">
      <c r="A172" s="316" t="s">
        <v>549</v>
      </c>
      <c r="B172" s="317"/>
      <c r="C172" s="163" t="s">
        <v>596</v>
      </c>
      <c r="D172" s="191" t="s">
        <v>622</v>
      </c>
      <c r="E172" s="137" t="s">
        <v>1</v>
      </c>
      <c r="F172" s="150">
        <v>271072.42499999999</v>
      </c>
      <c r="G172" s="152" t="s">
        <v>748</v>
      </c>
      <c r="H172" s="199"/>
      <c r="I172" s="170"/>
    </row>
    <row r="173" spans="1:9" ht="26.25" hidden="1" customHeight="1">
      <c r="A173" s="373" t="s">
        <v>713</v>
      </c>
      <c r="B173" s="374"/>
      <c r="C173" s="211" t="s">
        <v>722</v>
      </c>
      <c r="D173" s="212" t="s">
        <v>720</v>
      </c>
      <c r="E173" s="210" t="s">
        <v>1</v>
      </c>
      <c r="F173" s="162">
        <v>258999</v>
      </c>
      <c r="G173" s="152" t="s">
        <v>748</v>
      </c>
      <c r="H173" s="252"/>
      <c r="I173" s="170"/>
    </row>
    <row r="174" spans="1:9" ht="45" hidden="1" customHeight="1">
      <c r="A174" s="316" t="s">
        <v>483</v>
      </c>
      <c r="B174" s="317"/>
      <c r="C174" s="163" t="s">
        <v>655</v>
      </c>
      <c r="D174" s="191" t="s">
        <v>635</v>
      </c>
      <c r="E174" s="137" t="s">
        <v>1</v>
      </c>
      <c r="F174" s="150">
        <v>78994.695000000007</v>
      </c>
      <c r="G174" s="152" t="s">
        <v>748</v>
      </c>
      <c r="H174" s="199"/>
      <c r="I174" s="170"/>
    </row>
    <row r="175" spans="1:9" ht="45" hidden="1">
      <c r="A175" s="316" t="s">
        <v>484</v>
      </c>
      <c r="B175" s="317"/>
      <c r="C175" s="163" t="s">
        <v>656</v>
      </c>
      <c r="D175" s="191" t="s">
        <v>635</v>
      </c>
      <c r="E175" s="137" t="s">
        <v>1</v>
      </c>
      <c r="F175" s="150">
        <v>93533.7</v>
      </c>
      <c r="G175" s="152" t="s">
        <v>748</v>
      </c>
      <c r="H175" s="199"/>
      <c r="I175" s="170"/>
    </row>
    <row r="176" spans="1:9" ht="45" hidden="1">
      <c r="A176" s="316" t="s">
        <v>485</v>
      </c>
      <c r="B176" s="317"/>
      <c r="C176" s="163" t="s">
        <v>597</v>
      </c>
      <c r="D176" s="191" t="s">
        <v>636</v>
      </c>
      <c r="E176" s="137" t="s">
        <v>1</v>
      </c>
      <c r="F176" s="150">
        <v>92176.5</v>
      </c>
      <c r="G176" s="152" t="s">
        <v>748</v>
      </c>
      <c r="H176" s="199"/>
      <c r="I176" s="170"/>
    </row>
    <row r="177" spans="1:9" ht="45" hidden="1">
      <c r="A177" s="316" t="s">
        <v>486</v>
      </c>
      <c r="B177" s="317"/>
      <c r="C177" s="163" t="s">
        <v>657</v>
      </c>
      <c r="D177" s="191" t="s">
        <v>635</v>
      </c>
      <c r="E177" s="137" t="s">
        <v>1</v>
      </c>
      <c r="F177" s="150">
        <v>97266</v>
      </c>
      <c r="G177" s="152" t="s">
        <v>748</v>
      </c>
      <c r="H177" s="199"/>
      <c r="I177" s="170"/>
    </row>
    <row r="178" spans="1:9" ht="45" hidden="1">
      <c r="A178" s="316" t="s">
        <v>487</v>
      </c>
      <c r="B178" s="317"/>
      <c r="C178" s="163" t="s">
        <v>658</v>
      </c>
      <c r="D178" s="191" t="s">
        <v>637</v>
      </c>
      <c r="E178" s="137" t="s">
        <v>1</v>
      </c>
      <c r="F178" s="150">
        <v>106879.5</v>
      </c>
      <c r="G178" s="152" t="s">
        <v>748</v>
      </c>
      <c r="H178" s="199"/>
      <c r="I178" s="170"/>
    </row>
    <row r="179" spans="1:9" ht="45" hidden="1">
      <c r="A179" s="316" t="s">
        <v>488</v>
      </c>
      <c r="B179" s="317"/>
      <c r="C179" s="163" t="s">
        <v>598</v>
      </c>
      <c r="D179" s="191" t="s">
        <v>635</v>
      </c>
      <c r="E179" s="137" t="s">
        <v>1</v>
      </c>
      <c r="F179" s="150">
        <v>156078</v>
      </c>
      <c r="G179" s="152" t="s">
        <v>748</v>
      </c>
      <c r="H179" s="199"/>
      <c r="I179" s="170"/>
    </row>
    <row r="180" spans="1:9" ht="45" hidden="1">
      <c r="A180" s="316" t="s">
        <v>489</v>
      </c>
      <c r="B180" s="317"/>
      <c r="C180" s="163" t="s">
        <v>599</v>
      </c>
      <c r="D180" s="191" t="s">
        <v>635</v>
      </c>
      <c r="E180" s="137" t="s">
        <v>1</v>
      </c>
      <c r="F180" s="150">
        <v>160946.95500000002</v>
      </c>
      <c r="G180" s="152" t="s">
        <v>748</v>
      </c>
      <c r="H180" s="199"/>
      <c r="I180" s="170"/>
    </row>
    <row r="181" spans="1:9" ht="45" hidden="1">
      <c r="A181" s="316" t="s">
        <v>490</v>
      </c>
      <c r="B181" s="317"/>
      <c r="C181" s="163" t="s">
        <v>600</v>
      </c>
      <c r="D181" s="191" t="s">
        <v>635</v>
      </c>
      <c r="E181" s="137" t="s">
        <v>1</v>
      </c>
      <c r="F181" s="150">
        <v>183222</v>
      </c>
      <c r="G181" s="152" t="s">
        <v>748</v>
      </c>
      <c r="H181" s="199"/>
      <c r="I181" s="170"/>
    </row>
    <row r="182" spans="1:9" ht="45" hidden="1">
      <c r="A182" s="316" t="s">
        <v>494</v>
      </c>
      <c r="B182" s="317"/>
      <c r="C182" s="163" t="s">
        <v>601</v>
      </c>
      <c r="D182" s="191" t="s">
        <v>635</v>
      </c>
      <c r="E182" s="137" t="s">
        <v>1</v>
      </c>
      <c r="F182" s="150">
        <v>196499.94000000003</v>
      </c>
      <c r="G182" s="152" t="s">
        <v>748</v>
      </c>
      <c r="H182" s="199" t="s">
        <v>219</v>
      </c>
      <c r="I182" s="170"/>
    </row>
    <row r="183" spans="1:9" ht="38.25" hidden="1" customHeight="1">
      <c r="A183" s="316" t="s">
        <v>677</v>
      </c>
      <c r="B183" s="317"/>
      <c r="C183" s="325" t="s">
        <v>695</v>
      </c>
      <c r="D183" s="325"/>
      <c r="E183" s="137" t="s">
        <v>1</v>
      </c>
      <c r="F183" s="150">
        <v>18644.535</v>
      </c>
      <c r="G183" s="152" t="s">
        <v>748</v>
      </c>
      <c r="H183" s="199"/>
      <c r="I183" s="170"/>
    </row>
    <row r="184" spans="1:9" ht="38.25" hidden="1" customHeight="1" thickBot="1">
      <c r="A184" s="371" t="s">
        <v>558</v>
      </c>
      <c r="B184" s="372"/>
      <c r="C184" s="349" t="s">
        <v>625</v>
      </c>
      <c r="D184" s="349"/>
      <c r="E184" s="147" t="s">
        <v>1</v>
      </c>
      <c r="F184" s="149">
        <v>9049.9500000000007</v>
      </c>
      <c r="G184" s="152" t="s">
        <v>748</v>
      </c>
      <c r="H184" s="233"/>
      <c r="I184" s="170"/>
    </row>
    <row r="185" spans="1:9" ht="21.75" hidden="1" customHeight="1" thickBot="1">
      <c r="A185" s="350" t="s">
        <v>681</v>
      </c>
      <c r="B185" s="351"/>
      <c r="C185" s="351"/>
      <c r="D185" s="351"/>
      <c r="E185" s="351"/>
      <c r="F185" s="351"/>
      <c r="G185" s="351"/>
      <c r="H185" s="352"/>
      <c r="I185" s="170"/>
    </row>
    <row r="186" spans="1:9" ht="51.75" hidden="1" customHeight="1">
      <c r="A186" s="346" t="s">
        <v>679</v>
      </c>
      <c r="B186" s="347"/>
      <c r="C186" s="204" t="s">
        <v>683</v>
      </c>
      <c r="D186" s="192" t="s">
        <v>680</v>
      </c>
      <c r="E186" s="146" t="s">
        <v>1</v>
      </c>
      <c r="F186" s="148">
        <v>125286.52500000001</v>
      </c>
      <c r="G186" s="152" t="s">
        <v>748</v>
      </c>
      <c r="H186" s="225" t="s">
        <v>678</v>
      </c>
      <c r="I186" s="170"/>
    </row>
    <row r="187" spans="1:9" ht="51.75" hidden="1" customHeight="1">
      <c r="A187" s="316" t="s">
        <v>689</v>
      </c>
      <c r="B187" s="317"/>
      <c r="C187" s="203"/>
      <c r="D187" s="191" t="s">
        <v>680</v>
      </c>
      <c r="E187" s="137" t="s">
        <v>1</v>
      </c>
      <c r="F187" s="150">
        <v>188498.11499999999</v>
      </c>
      <c r="G187" s="152" t="s">
        <v>748</v>
      </c>
      <c r="H187" s="199" t="s">
        <v>678</v>
      </c>
      <c r="I187" s="170"/>
    </row>
    <row r="188" spans="1:9" ht="51.75" hidden="1" customHeight="1">
      <c r="A188" s="316" t="s">
        <v>690</v>
      </c>
      <c r="B188" s="317"/>
      <c r="C188" s="203"/>
      <c r="D188" s="191" t="s">
        <v>680</v>
      </c>
      <c r="E188" s="137" t="s">
        <v>1</v>
      </c>
      <c r="F188" s="150">
        <v>206842.935</v>
      </c>
      <c r="G188" s="152" t="s">
        <v>748</v>
      </c>
      <c r="H188" s="199" t="s">
        <v>678</v>
      </c>
      <c r="I188" s="170"/>
    </row>
    <row r="189" spans="1:9" ht="51.75" hidden="1" customHeight="1" thickBot="1">
      <c r="A189" s="326" t="s">
        <v>691</v>
      </c>
      <c r="B189" s="327"/>
      <c r="C189" s="205"/>
      <c r="D189" s="206" t="s">
        <v>680</v>
      </c>
      <c r="E189" s="147" t="s">
        <v>1</v>
      </c>
      <c r="F189" s="149">
        <v>237408.21</v>
      </c>
      <c r="G189" s="152" t="s">
        <v>748</v>
      </c>
      <c r="H189" s="233" t="s">
        <v>678</v>
      </c>
      <c r="I189" s="170"/>
    </row>
    <row r="190" spans="1:9" ht="21.75" hidden="1" customHeight="1" thickBot="1">
      <c r="A190" s="350" t="s">
        <v>715</v>
      </c>
      <c r="B190" s="351"/>
      <c r="C190" s="351"/>
      <c r="D190" s="351"/>
      <c r="E190" s="351"/>
      <c r="F190" s="351"/>
      <c r="G190" s="351"/>
      <c r="H190" s="352"/>
      <c r="I190" s="170"/>
    </row>
    <row r="191" spans="1:9" ht="51.75" hidden="1" customHeight="1" thickBot="1">
      <c r="A191" s="385" t="s">
        <v>716</v>
      </c>
      <c r="B191" s="386"/>
      <c r="C191" s="213" t="s">
        <v>726</v>
      </c>
      <c r="D191" s="393" t="s">
        <v>723</v>
      </c>
      <c r="E191" s="195" t="s">
        <v>1</v>
      </c>
      <c r="F191" s="196">
        <v>132892.5</v>
      </c>
      <c r="G191" s="152" t="s">
        <v>748</v>
      </c>
      <c r="H191" s="259" t="s">
        <v>678</v>
      </c>
      <c r="I191" s="170"/>
    </row>
    <row r="192" spans="1:9" ht="51.75" hidden="1" customHeight="1" thickBot="1">
      <c r="A192" s="373" t="s">
        <v>717</v>
      </c>
      <c r="B192" s="374"/>
      <c r="C192" s="214" t="s">
        <v>730</v>
      </c>
      <c r="D192" s="394"/>
      <c r="E192" s="224" t="s">
        <v>1</v>
      </c>
      <c r="F192" s="162">
        <v>176436</v>
      </c>
      <c r="G192" s="152" t="s">
        <v>748</v>
      </c>
      <c r="H192" s="259" t="s">
        <v>678</v>
      </c>
      <c r="I192" s="170"/>
    </row>
    <row r="193" spans="1:9" ht="51.75" hidden="1" customHeight="1" thickBot="1">
      <c r="A193" s="373" t="s">
        <v>733</v>
      </c>
      <c r="B193" s="374"/>
      <c r="C193" s="214" t="s">
        <v>730</v>
      </c>
      <c r="D193" s="394"/>
      <c r="E193" s="224" t="s">
        <v>1</v>
      </c>
      <c r="F193" s="162">
        <v>214460.22</v>
      </c>
      <c r="G193" s="152" t="s">
        <v>748</v>
      </c>
      <c r="H193" s="259" t="s">
        <v>678</v>
      </c>
      <c r="I193" s="170"/>
    </row>
    <row r="194" spans="1:9" ht="51.75" hidden="1" customHeight="1" thickBot="1">
      <c r="A194" s="388" t="s">
        <v>718</v>
      </c>
      <c r="B194" s="389"/>
      <c r="C194" s="215" t="s">
        <v>731</v>
      </c>
      <c r="D194" s="395"/>
      <c r="E194" s="200" t="s">
        <v>1</v>
      </c>
      <c r="F194" s="197">
        <v>231855</v>
      </c>
      <c r="G194" s="152" t="s">
        <v>748</v>
      </c>
      <c r="H194" s="259" t="s">
        <v>678</v>
      </c>
      <c r="I194" s="170"/>
    </row>
    <row r="195" spans="1:9" ht="21.75" hidden="1" customHeight="1" thickBot="1">
      <c r="A195" s="350" t="s">
        <v>682</v>
      </c>
      <c r="B195" s="351"/>
      <c r="C195" s="351"/>
      <c r="D195" s="351"/>
      <c r="E195" s="351"/>
      <c r="F195" s="351"/>
      <c r="G195" s="351"/>
      <c r="H195" s="352"/>
      <c r="I195" s="170"/>
    </row>
    <row r="196" spans="1:9" ht="45" hidden="1" customHeight="1">
      <c r="A196" s="346" t="s">
        <v>627</v>
      </c>
      <c r="B196" s="347"/>
      <c r="C196" s="204" t="s">
        <v>684</v>
      </c>
      <c r="D196" s="192" t="s">
        <v>649</v>
      </c>
      <c r="E196" s="146" t="s">
        <v>1</v>
      </c>
      <c r="F196" s="148">
        <v>144502.215</v>
      </c>
      <c r="G196" s="152" t="s">
        <v>748</v>
      </c>
      <c r="H196" s="225" t="s">
        <v>678</v>
      </c>
      <c r="I196" s="170"/>
    </row>
    <row r="197" spans="1:9" ht="45" hidden="1">
      <c r="A197" s="316" t="s">
        <v>491</v>
      </c>
      <c r="B197" s="317"/>
      <c r="C197" s="163" t="s">
        <v>605</v>
      </c>
      <c r="D197" s="191" t="s">
        <v>650</v>
      </c>
      <c r="E197" s="137" t="s">
        <v>1</v>
      </c>
      <c r="F197" s="150">
        <v>115531.65000000001</v>
      </c>
      <c r="G197" s="152" t="s">
        <v>748</v>
      </c>
      <c r="H197" s="199"/>
      <c r="I197" s="170"/>
    </row>
    <row r="198" spans="1:9" ht="45" hidden="1">
      <c r="A198" s="316" t="s">
        <v>492</v>
      </c>
      <c r="B198" s="317"/>
      <c r="C198" s="163" t="s">
        <v>602</v>
      </c>
      <c r="D198" s="191" t="s">
        <v>651</v>
      </c>
      <c r="E198" s="137" t="s">
        <v>1</v>
      </c>
      <c r="F198" s="150">
        <v>120462.81000000001</v>
      </c>
      <c r="G198" s="152" t="s">
        <v>748</v>
      </c>
      <c r="H198" s="199"/>
      <c r="I198" s="170"/>
    </row>
    <row r="199" spans="1:9" ht="45" hidden="1">
      <c r="A199" s="316" t="s">
        <v>495</v>
      </c>
      <c r="B199" s="317"/>
      <c r="C199" s="163" t="s">
        <v>603</v>
      </c>
      <c r="D199" s="191" t="s">
        <v>649</v>
      </c>
      <c r="E199" s="137" t="s">
        <v>1</v>
      </c>
      <c r="F199" s="150">
        <v>142189.32</v>
      </c>
      <c r="G199" s="152" t="s">
        <v>748</v>
      </c>
      <c r="H199" s="199" t="s">
        <v>685</v>
      </c>
      <c r="I199" s="170"/>
    </row>
    <row r="200" spans="1:9" ht="45" hidden="1">
      <c r="A200" s="316" t="s">
        <v>493</v>
      </c>
      <c r="B200" s="317"/>
      <c r="C200" s="163" t="s">
        <v>604</v>
      </c>
      <c r="D200" s="191" t="s">
        <v>649</v>
      </c>
      <c r="E200" s="137" t="s">
        <v>1</v>
      </c>
      <c r="F200" s="150">
        <v>148110.10500000001</v>
      </c>
      <c r="G200" s="152" t="s">
        <v>748</v>
      </c>
      <c r="H200" s="199"/>
      <c r="I200" s="170"/>
    </row>
    <row r="201" spans="1:9" ht="45.75" hidden="1" customHeight="1">
      <c r="A201" s="376" t="s">
        <v>677</v>
      </c>
      <c r="B201" s="377"/>
      <c r="C201" s="325" t="s">
        <v>696</v>
      </c>
      <c r="D201" s="325"/>
      <c r="E201" s="137" t="s">
        <v>1</v>
      </c>
      <c r="F201" s="150">
        <v>18644.535</v>
      </c>
      <c r="G201" s="152" t="s">
        <v>748</v>
      </c>
      <c r="H201" s="199"/>
      <c r="I201" s="170"/>
    </row>
    <row r="202" spans="1:9" ht="33.75" hidden="1" customHeight="1" thickBot="1">
      <c r="A202" s="369" t="s">
        <v>559</v>
      </c>
      <c r="B202" s="370"/>
      <c r="C202" s="349" t="s">
        <v>626</v>
      </c>
      <c r="D202" s="349"/>
      <c r="E202" s="147" t="s">
        <v>1</v>
      </c>
      <c r="F202" s="149">
        <v>14821.755000000001</v>
      </c>
      <c r="G202" s="152" t="s">
        <v>748</v>
      </c>
      <c r="H202" s="233"/>
      <c r="I202" s="170"/>
    </row>
    <row r="203" spans="1:9" s="108" customFormat="1" ht="16.899999999999999" hidden="1" customHeight="1" thickBot="1">
      <c r="A203" s="321" t="s">
        <v>588</v>
      </c>
      <c r="B203" s="322"/>
      <c r="C203" s="322"/>
      <c r="D203" s="322"/>
      <c r="E203" s="322"/>
      <c r="F203" s="322"/>
      <c r="G203" s="322"/>
      <c r="H203" s="323"/>
      <c r="I203" s="170"/>
    </row>
    <row r="204" spans="1:9" ht="16.899999999999999" hidden="1" customHeight="1">
      <c r="A204" s="328" t="s">
        <v>629</v>
      </c>
      <c r="B204" s="319"/>
      <c r="C204" s="320" t="s">
        <v>393</v>
      </c>
      <c r="D204" s="320"/>
      <c r="E204" s="158" t="s">
        <v>376</v>
      </c>
      <c r="F204" s="152">
        <v>189578.22</v>
      </c>
      <c r="G204" s="152" t="s">
        <v>748</v>
      </c>
      <c r="H204" s="248"/>
      <c r="I204" s="170"/>
    </row>
    <row r="205" spans="1:9" ht="16.899999999999999" hidden="1" customHeight="1">
      <c r="A205" s="316" t="s">
        <v>630</v>
      </c>
      <c r="B205" s="317"/>
      <c r="C205" s="320" t="s">
        <v>393</v>
      </c>
      <c r="D205" s="320"/>
      <c r="E205" s="157" t="s">
        <v>377</v>
      </c>
      <c r="F205" s="152">
        <v>191433.06</v>
      </c>
      <c r="G205" s="152" t="s">
        <v>748</v>
      </c>
      <c r="H205" s="199"/>
      <c r="I205" s="170"/>
    </row>
    <row r="206" spans="1:9" ht="16.899999999999999" hidden="1" customHeight="1">
      <c r="A206" s="316" t="s">
        <v>631</v>
      </c>
      <c r="B206" s="317"/>
      <c r="C206" s="320" t="s">
        <v>393</v>
      </c>
      <c r="D206" s="320"/>
      <c r="E206" s="157" t="s">
        <v>378</v>
      </c>
      <c r="F206" s="152">
        <v>194520.69000000003</v>
      </c>
      <c r="G206" s="152" t="s">
        <v>748</v>
      </c>
      <c r="H206" s="229"/>
      <c r="I206" s="170"/>
    </row>
    <row r="207" spans="1:9" ht="16.899999999999999" hidden="1" customHeight="1">
      <c r="A207" s="316" t="s">
        <v>632</v>
      </c>
      <c r="B207" s="317"/>
      <c r="C207" s="320" t="s">
        <v>393</v>
      </c>
      <c r="D207" s="320"/>
      <c r="E207" s="157" t="s">
        <v>379</v>
      </c>
      <c r="F207" s="152">
        <v>255656.89499999999</v>
      </c>
      <c r="G207" s="152" t="s">
        <v>748</v>
      </c>
      <c r="H207" s="229"/>
      <c r="I207" s="170"/>
    </row>
    <row r="208" spans="1:9" ht="16.899999999999999" hidden="1" customHeight="1">
      <c r="A208" s="316" t="s">
        <v>633</v>
      </c>
      <c r="B208" s="317"/>
      <c r="C208" s="320" t="s">
        <v>393</v>
      </c>
      <c r="D208" s="320"/>
      <c r="E208" s="157" t="s">
        <v>380</v>
      </c>
      <c r="F208" s="152">
        <v>261900.01499999998</v>
      </c>
      <c r="G208" s="152" t="s">
        <v>748</v>
      </c>
      <c r="H208" s="199"/>
      <c r="I208" s="170"/>
    </row>
    <row r="209" spans="1:9" ht="16.899999999999999" hidden="1" customHeight="1">
      <c r="A209" s="316" t="s">
        <v>634</v>
      </c>
      <c r="B209" s="317"/>
      <c r="C209" s="320" t="s">
        <v>393</v>
      </c>
      <c r="D209" s="320"/>
      <c r="E209" s="157" t="s">
        <v>381</v>
      </c>
      <c r="F209" s="152">
        <v>272944.23000000004</v>
      </c>
      <c r="G209" s="152" t="s">
        <v>748</v>
      </c>
      <c r="H209" s="199"/>
      <c r="I209" s="170"/>
    </row>
    <row r="210" spans="1:9" ht="16.899999999999999" hidden="1" customHeight="1">
      <c r="A210" s="316" t="s">
        <v>357</v>
      </c>
      <c r="B210" s="317"/>
      <c r="C210" s="320" t="s">
        <v>393</v>
      </c>
      <c r="D210" s="320"/>
      <c r="E210" s="157" t="s">
        <v>382</v>
      </c>
      <c r="F210" s="152">
        <v>331151.14500000002</v>
      </c>
      <c r="G210" s="152" t="s">
        <v>748</v>
      </c>
      <c r="H210" s="199"/>
      <c r="I210" s="170"/>
    </row>
    <row r="211" spans="1:9" ht="16.899999999999999" hidden="1" customHeight="1">
      <c r="A211" s="316" t="s">
        <v>358</v>
      </c>
      <c r="B211" s="317"/>
      <c r="C211" s="320" t="s">
        <v>393</v>
      </c>
      <c r="D211" s="320"/>
      <c r="E211" s="157" t="s">
        <v>383</v>
      </c>
      <c r="F211" s="152">
        <v>349518.58500000002</v>
      </c>
      <c r="G211" s="152" t="s">
        <v>748</v>
      </c>
      <c r="H211" s="199"/>
      <c r="I211" s="170"/>
    </row>
    <row r="212" spans="1:9" ht="16.899999999999999" hidden="1" customHeight="1">
      <c r="A212" s="316" t="s">
        <v>359</v>
      </c>
      <c r="B212" s="317"/>
      <c r="C212" s="320" t="s">
        <v>393</v>
      </c>
      <c r="D212" s="320"/>
      <c r="E212" s="157" t="s">
        <v>384</v>
      </c>
      <c r="F212" s="152">
        <v>351373.42499999999</v>
      </c>
      <c r="G212" s="152" t="s">
        <v>748</v>
      </c>
      <c r="H212" s="229"/>
      <c r="I212" s="170"/>
    </row>
    <row r="213" spans="1:9" ht="16.899999999999999" hidden="1" customHeight="1">
      <c r="A213" s="316" t="s">
        <v>360</v>
      </c>
      <c r="B213" s="317"/>
      <c r="C213" s="320" t="s">
        <v>393</v>
      </c>
      <c r="D213" s="320"/>
      <c r="E213" s="157" t="s">
        <v>385</v>
      </c>
      <c r="F213" s="152">
        <v>372370.44</v>
      </c>
      <c r="G213" s="152" t="s">
        <v>748</v>
      </c>
      <c r="H213" s="229"/>
      <c r="I213" s="170"/>
    </row>
    <row r="214" spans="1:9" ht="16.899999999999999" hidden="1" customHeight="1">
      <c r="A214" s="396" t="s">
        <v>740</v>
      </c>
      <c r="B214" s="397"/>
      <c r="C214" s="387" t="s">
        <v>743</v>
      </c>
      <c r="D214" s="387"/>
      <c r="E214" s="260" t="s">
        <v>385</v>
      </c>
      <c r="F214" s="161">
        <v>719067.18</v>
      </c>
      <c r="G214" s="152" t="s">
        <v>748</v>
      </c>
      <c r="H214" s="261"/>
      <c r="I214" s="170"/>
    </row>
    <row r="215" spans="1:9" ht="16.899999999999999" hidden="1" customHeight="1">
      <c r="A215" s="396" t="s">
        <v>741</v>
      </c>
      <c r="B215" s="397"/>
      <c r="C215" s="387" t="s">
        <v>743</v>
      </c>
      <c r="D215" s="387"/>
      <c r="E215" s="260" t="s">
        <v>742</v>
      </c>
      <c r="F215" s="161">
        <v>1180973.2349999999</v>
      </c>
      <c r="G215" s="152" t="s">
        <v>748</v>
      </c>
      <c r="H215" s="261"/>
      <c r="I215" s="170"/>
    </row>
    <row r="216" spans="1:9" ht="16.899999999999999" hidden="1" customHeight="1">
      <c r="A216" s="316" t="s">
        <v>575</v>
      </c>
      <c r="B216" s="317"/>
      <c r="C216" s="310" t="s">
        <v>659</v>
      </c>
      <c r="D216" s="310"/>
      <c r="E216" s="157" t="s">
        <v>576</v>
      </c>
      <c r="F216" s="152">
        <v>222925.75499999998</v>
      </c>
      <c r="G216" s="152" t="s">
        <v>748</v>
      </c>
      <c r="H216" s="199"/>
      <c r="I216" s="170"/>
    </row>
    <row r="217" spans="1:9" ht="16.899999999999999" hidden="1" customHeight="1">
      <c r="A217" s="316" t="s">
        <v>577</v>
      </c>
      <c r="B217" s="317"/>
      <c r="C217" s="310" t="s">
        <v>659</v>
      </c>
      <c r="D217" s="310"/>
      <c r="E217" s="157" t="s">
        <v>376</v>
      </c>
      <c r="F217" s="152">
        <v>248865.24</v>
      </c>
      <c r="G217" s="152" t="s">
        <v>748</v>
      </c>
      <c r="H217" s="199"/>
      <c r="I217" s="170"/>
    </row>
    <row r="218" spans="1:9" ht="16.899999999999999" hidden="1" customHeight="1">
      <c r="A218" s="316" t="s">
        <v>578</v>
      </c>
      <c r="B218" s="317"/>
      <c r="C218" s="375" t="s">
        <v>660</v>
      </c>
      <c r="D218" s="375"/>
      <c r="E218" s="157" t="s">
        <v>376</v>
      </c>
      <c r="F218" s="152">
        <v>231572.25</v>
      </c>
      <c r="G218" s="152" t="s">
        <v>748</v>
      </c>
      <c r="H218" s="199" t="s">
        <v>219</v>
      </c>
      <c r="I218" s="170"/>
    </row>
    <row r="219" spans="1:9" ht="16.899999999999999" hidden="1" customHeight="1">
      <c r="A219" s="316" t="s">
        <v>665</v>
      </c>
      <c r="B219" s="317"/>
      <c r="C219" s="310" t="s">
        <v>659</v>
      </c>
      <c r="D219" s="310"/>
      <c r="E219" s="157" t="s">
        <v>377</v>
      </c>
      <c r="F219" s="152">
        <v>296412.48</v>
      </c>
      <c r="G219" s="152" t="s">
        <v>748</v>
      </c>
      <c r="H219" s="199"/>
      <c r="I219" s="170"/>
    </row>
    <row r="220" spans="1:9" ht="16.899999999999999" hidden="1" customHeight="1">
      <c r="A220" s="316" t="s">
        <v>399</v>
      </c>
      <c r="B220" s="317"/>
      <c r="C220" s="310" t="s">
        <v>661</v>
      </c>
      <c r="D220" s="310"/>
      <c r="E220" s="157" t="s">
        <v>377</v>
      </c>
      <c r="F220" s="152">
        <v>258128.12999999998</v>
      </c>
      <c r="G220" s="152" t="s">
        <v>748</v>
      </c>
      <c r="H220" s="199"/>
      <c r="I220" s="170"/>
    </row>
    <row r="221" spans="1:9" ht="16.899999999999999" hidden="1" customHeight="1">
      <c r="A221" s="316" t="s">
        <v>400</v>
      </c>
      <c r="B221" s="317"/>
      <c r="C221" s="310" t="s">
        <v>661</v>
      </c>
      <c r="D221" s="310"/>
      <c r="E221" s="157" t="s">
        <v>378</v>
      </c>
      <c r="F221" s="152">
        <v>269240.20500000002</v>
      </c>
      <c r="G221" s="152" t="s">
        <v>748</v>
      </c>
      <c r="H221" s="199"/>
      <c r="I221" s="170"/>
    </row>
    <row r="222" spans="1:9" ht="16.899999999999999" hidden="1" customHeight="1">
      <c r="A222" s="316" t="s">
        <v>401</v>
      </c>
      <c r="B222" s="317"/>
      <c r="C222" s="310" t="s">
        <v>661</v>
      </c>
      <c r="D222" s="310"/>
      <c r="E222" s="157" t="s">
        <v>379</v>
      </c>
      <c r="F222" s="152">
        <v>298267.32000000007</v>
      </c>
      <c r="G222" s="152" t="s">
        <v>748</v>
      </c>
      <c r="H222" s="199"/>
      <c r="I222" s="170"/>
    </row>
    <row r="223" spans="1:9" ht="16.899999999999999" hidden="1" customHeight="1">
      <c r="A223" s="316" t="s">
        <v>402</v>
      </c>
      <c r="B223" s="317"/>
      <c r="C223" s="310" t="s">
        <v>661</v>
      </c>
      <c r="D223" s="310"/>
      <c r="E223" s="157" t="s">
        <v>380</v>
      </c>
      <c r="F223" s="152">
        <v>306291.76500000001</v>
      </c>
      <c r="G223" s="152" t="s">
        <v>748</v>
      </c>
      <c r="H223" s="199"/>
      <c r="I223" s="170"/>
    </row>
    <row r="224" spans="1:9" ht="16.899999999999999" hidden="1" customHeight="1">
      <c r="A224" s="316" t="s">
        <v>403</v>
      </c>
      <c r="B224" s="317"/>
      <c r="C224" s="310" t="s">
        <v>661</v>
      </c>
      <c r="D224" s="310"/>
      <c r="E224" s="157" t="s">
        <v>381</v>
      </c>
      <c r="F224" s="152">
        <v>314321.86500000005</v>
      </c>
      <c r="G224" s="152" t="s">
        <v>748</v>
      </c>
      <c r="H224" s="199"/>
      <c r="I224" s="170"/>
    </row>
    <row r="225" spans="1:9" ht="16.899999999999999" hidden="1" customHeight="1">
      <c r="A225" s="316" t="s">
        <v>583</v>
      </c>
      <c r="B225" s="317"/>
      <c r="C225" s="310" t="s">
        <v>661</v>
      </c>
      <c r="D225" s="310"/>
      <c r="E225" s="157" t="s">
        <v>382</v>
      </c>
      <c r="F225" s="152">
        <v>322968.36000000004</v>
      </c>
      <c r="G225" s="152" t="s">
        <v>748</v>
      </c>
      <c r="H225" s="199"/>
      <c r="I225" s="170"/>
    </row>
    <row r="226" spans="1:9" ht="16.899999999999999" hidden="1" customHeight="1">
      <c r="A226" s="316" t="s">
        <v>404</v>
      </c>
      <c r="B226" s="317"/>
      <c r="C226" s="310" t="s">
        <v>661</v>
      </c>
      <c r="D226" s="310"/>
      <c r="E226" s="157" t="s">
        <v>383</v>
      </c>
      <c r="F226" s="152">
        <v>343343.32500000001</v>
      </c>
      <c r="G226" s="152" t="s">
        <v>748</v>
      </c>
      <c r="H226" s="199"/>
      <c r="I226" s="170"/>
    </row>
    <row r="227" spans="1:9" ht="16.899999999999999" hidden="1" customHeight="1">
      <c r="A227" s="316" t="s">
        <v>574</v>
      </c>
      <c r="B227" s="317"/>
      <c r="C227" s="310" t="s">
        <v>661</v>
      </c>
      <c r="D227" s="310"/>
      <c r="E227" s="157" t="s">
        <v>573</v>
      </c>
      <c r="F227" s="152">
        <v>351373.42499999999</v>
      </c>
      <c r="G227" s="152" t="s">
        <v>748</v>
      </c>
      <c r="H227" s="199"/>
      <c r="I227" s="170"/>
    </row>
    <row r="228" spans="1:9" ht="16.899999999999999" hidden="1" customHeight="1">
      <c r="A228" s="316" t="s">
        <v>405</v>
      </c>
      <c r="B228" s="317"/>
      <c r="C228" s="310" t="s">
        <v>661</v>
      </c>
      <c r="D228" s="310"/>
      <c r="E228" s="157" t="s">
        <v>384</v>
      </c>
      <c r="F228" s="152">
        <v>359397.87</v>
      </c>
      <c r="G228" s="152" t="s">
        <v>748</v>
      </c>
      <c r="H228" s="199"/>
      <c r="I228" s="170"/>
    </row>
    <row r="229" spans="1:9" ht="16.899999999999999" hidden="1" customHeight="1">
      <c r="A229" s="316" t="s">
        <v>406</v>
      </c>
      <c r="B229" s="317"/>
      <c r="C229" s="310" t="s">
        <v>661</v>
      </c>
      <c r="D229" s="310"/>
      <c r="E229" s="157" t="s">
        <v>385</v>
      </c>
      <c r="F229" s="152">
        <v>374219.625</v>
      </c>
      <c r="G229" s="152" t="s">
        <v>748</v>
      </c>
      <c r="H229" s="199"/>
      <c r="I229" s="170"/>
    </row>
    <row r="230" spans="1:9" ht="16.899999999999999" hidden="1" customHeight="1">
      <c r="A230" s="316" t="s">
        <v>666</v>
      </c>
      <c r="B230" s="317"/>
      <c r="C230" s="310" t="s">
        <v>670</v>
      </c>
      <c r="D230" s="310"/>
      <c r="E230" s="157" t="s">
        <v>376</v>
      </c>
      <c r="F230" s="152">
        <v>122272.41</v>
      </c>
      <c r="G230" s="152" t="s">
        <v>748</v>
      </c>
      <c r="H230" s="199"/>
      <c r="I230" s="170"/>
    </row>
    <row r="231" spans="1:9" ht="16.899999999999999" hidden="1" customHeight="1">
      <c r="A231" s="316" t="s">
        <v>667</v>
      </c>
      <c r="B231" s="317"/>
      <c r="C231" s="310" t="s">
        <v>670</v>
      </c>
      <c r="D231" s="310"/>
      <c r="E231" s="157" t="s">
        <v>377</v>
      </c>
      <c r="F231" s="152">
        <v>131196</v>
      </c>
      <c r="G231" s="152" t="s">
        <v>748</v>
      </c>
      <c r="H231" s="199"/>
      <c r="I231" s="170"/>
    </row>
    <row r="232" spans="1:9" ht="16.899999999999999" hidden="1" customHeight="1">
      <c r="A232" s="316" t="s">
        <v>668</v>
      </c>
      <c r="B232" s="317"/>
      <c r="C232" s="310" t="s">
        <v>670</v>
      </c>
      <c r="D232" s="310"/>
      <c r="E232" s="157" t="s">
        <v>378</v>
      </c>
      <c r="F232" s="152">
        <v>150423</v>
      </c>
      <c r="G232" s="152" t="s">
        <v>748</v>
      </c>
      <c r="H232" s="199"/>
      <c r="I232" s="170"/>
    </row>
    <row r="233" spans="1:9" ht="16.899999999999999" hidden="1" customHeight="1">
      <c r="A233" s="316" t="s">
        <v>669</v>
      </c>
      <c r="B233" s="317"/>
      <c r="C233" s="310" t="s">
        <v>670</v>
      </c>
      <c r="D233" s="310"/>
      <c r="E233" s="157" t="s">
        <v>379</v>
      </c>
      <c r="F233" s="152">
        <v>170781</v>
      </c>
      <c r="G233" s="152" t="s">
        <v>748</v>
      </c>
      <c r="H233" s="199"/>
      <c r="I233" s="170"/>
    </row>
    <row r="234" spans="1:9" ht="16.899999999999999" hidden="1" customHeight="1">
      <c r="A234" s="316" t="s">
        <v>361</v>
      </c>
      <c r="B234" s="317"/>
      <c r="C234" s="310" t="s">
        <v>584</v>
      </c>
      <c r="D234" s="310"/>
      <c r="E234" s="157" t="s">
        <v>376</v>
      </c>
      <c r="F234" s="152">
        <v>154381.5</v>
      </c>
      <c r="G234" s="152" t="s">
        <v>748</v>
      </c>
      <c r="H234" s="199" t="s">
        <v>219</v>
      </c>
      <c r="I234" s="170"/>
    </row>
    <row r="235" spans="1:9" ht="16.899999999999999" hidden="1" customHeight="1">
      <c r="A235" s="316" t="s">
        <v>362</v>
      </c>
      <c r="B235" s="317"/>
      <c r="C235" s="310" t="s">
        <v>584</v>
      </c>
      <c r="D235" s="310"/>
      <c r="E235" s="157" t="s">
        <v>377</v>
      </c>
      <c r="F235" s="152">
        <v>161789.55000000002</v>
      </c>
      <c r="G235" s="152" t="s">
        <v>748</v>
      </c>
      <c r="H235" s="199" t="s">
        <v>395</v>
      </c>
      <c r="I235" s="170"/>
    </row>
    <row r="236" spans="1:9" ht="16.899999999999999" hidden="1" customHeight="1">
      <c r="A236" s="316" t="s">
        <v>363</v>
      </c>
      <c r="B236" s="317"/>
      <c r="C236" s="310" t="s">
        <v>584</v>
      </c>
      <c r="D236" s="310"/>
      <c r="E236" s="157" t="s">
        <v>378</v>
      </c>
      <c r="F236" s="152">
        <v>169819.65</v>
      </c>
      <c r="G236" s="152" t="s">
        <v>748</v>
      </c>
      <c r="H236" s="199" t="s">
        <v>219</v>
      </c>
      <c r="I236" s="170"/>
    </row>
    <row r="237" spans="1:9" ht="16.899999999999999" hidden="1" customHeight="1">
      <c r="A237" s="316" t="s">
        <v>364</v>
      </c>
      <c r="B237" s="317"/>
      <c r="C237" s="310" t="s">
        <v>584</v>
      </c>
      <c r="D237" s="310"/>
      <c r="E237" s="157" t="s">
        <v>379</v>
      </c>
      <c r="F237" s="152">
        <v>188961.82500000001</v>
      </c>
      <c r="G237" s="152" t="s">
        <v>748</v>
      </c>
      <c r="H237" s="199" t="s">
        <v>219</v>
      </c>
      <c r="I237" s="170"/>
    </row>
    <row r="238" spans="1:9" ht="16.899999999999999" hidden="1" customHeight="1">
      <c r="A238" s="316" t="s">
        <v>365</v>
      </c>
      <c r="B238" s="317"/>
      <c r="C238" s="310" t="s">
        <v>584</v>
      </c>
      <c r="D238" s="310"/>
      <c r="E238" s="157" t="s">
        <v>380</v>
      </c>
      <c r="F238" s="152">
        <v>195753.48</v>
      </c>
      <c r="G238" s="152" t="s">
        <v>748</v>
      </c>
      <c r="H238" s="229"/>
      <c r="I238" s="170"/>
    </row>
    <row r="239" spans="1:9" ht="16.899999999999999" hidden="1" customHeight="1">
      <c r="A239" s="316" t="s">
        <v>366</v>
      </c>
      <c r="B239" s="317"/>
      <c r="C239" s="310" t="s">
        <v>584</v>
      </c>
      <c r="D239" s="310"/>
      <c r="E239" s="157" t="s">
        <v>381</v>
      </c>
      <c r="F239" s="152">
        <v>205016.37000000002</v>
      </c>
      <c r="G239" s="152" t="s">
        <v>748</v>
      </c>
      <c r="H239" s="229"/>
      <c r="I239" s="170"/>
    </row>
    <row r="240" spans="1:9" ht="16.899999999999999" hidden="1" customHeight="1">
      <c r="A240" s="316" t="s">
        <v>367</v>
      </c>
      <c r="B240" s="317"/>
      <c r="C240" s="310" t="s">
        <v>584</v>
      </c>
      <c r="D240" s="310"/>
      <c r="E240" s="157" t="s">
        <v>382</v>
      </c>
      <c r="F240" s="152">
        <v>213046.47</v>
      </c>
      <c r="G240" s="152" t="s">
        <v>748</v>
      </c>
      <c r="H240" s="229"/>
      <c r="I240" s="170"/>
    </row>
    <row r="241" spans="1:9" ht="16.899999999999999" hidden="1" customHeight="1">
      <c r="A241" s="316" t="s">
        <v>368</v>
      </c>
      <c r="B241" s="317"/>
      <c r="C241" s="310" t="s">
        <v>584</v>
      </c>
      <c r="D241" s="310"/>
      <c r="E241" s="157" t="s">
        <v>383</v>
      </c>
      <c r="F241" s="152">
        <v>229717.41000000003</v>
      </c>
      <c r="G241" s="152" t="s">
        <v>748</v>
      </c>
      <c r="H241" s="253"/>
      <c r="I241" s="170"/>
    </row>
    <row r="242" spans="1:9" ht="16.899999999999999" hidden="1" customHeight="1">
      <c r="A242" s="316" t="s">
        <v>369</v>
      </c>
      <c r="B242" s="317"/>
      <c r="C242" s="310" t="s">
        <v>607</v>
      </c>
      <c r="D242" s="310"/>
      <c r="E242" s="157" t="s">
        <v>386</v>
      </c>
      <c r="F242" s="152">
        <v>2495195.2349999999</v>
      </c>
      <c r="G242" s="152" t="s">
        <v>748</v>
      </c>
      <c r="H242" s="254"/>
      <c r="I242" s="189"/>
    </row>
    <row r="243" spans="1:9" ht="16.899999999999999" hidden="1" customHeight="1">
      <c r="A243" s="316" t="s">
        <v>370</v>
      </c>
      <c r="B243" s="317"/>
      <c r="C243" s="310" t="s">
        <v>606</v>
      </c>
      <c r="D243" s="310"/>
      <c r="E243" s="157" t="s">
        <v>387</v>
      </c>
      <c r="F243" s="152">
        <v>2873967.1350000002</v>
      </c>
      <c r="G243" s="152" t="s">
        <v>748</v>
      </c>
      <c r="H243" s="254"/>
      <c r="I243" s="189"/>
    </row>
    <row r="244" spans="1:9" ht="16.899999999999999" hidden="1" customHeight="1">
      <c r="A244" s="316" t="s">
        <v>371</v>
      </c>
      <c r="B244" s="317"/>
      <c r="C244" s="310" t="s">
        <v>608</v>
      </c>
      <c r="D244" s="310"/>
      <c r="E244" s="157" t="s">
        <v>388</v>
      </c>
      <c r="F244" s="152">
        <v>3369837.12</v>
      </c>
      <c r="G244" s="152" t="s">
        <v>748</v>
      </c>
      <c r="H244" s="255"/>
      <c r="I244" s="189"/>
    </row>
    <row r="245" spans="1:9" ht="16.899999999999999" hidden="1" customHeight="1">
      <c r="A245" s="316" t="s">
        <v>372</v>
      </c>
      <c r="B245" s="317"/>
      <c r="C245" s="310" t="s">
        <v>613</v>
      </c>
      <c r="D245" s="310"/>
      <c r="E245" s="157" t="s">
        <v>389</v>
      </c>
      <c r="F245" s="152">
        <v>3422948.8800000004</v>
      </c>
      <c r="G245" s="152" t="s">
        <v>748</v>
      </c>
      <c r="H245" s="255"/>
      <c r="I245" s="189"/>
    </row>
    <row r="246" spans="1:9" ht="16.899999999999999" hidden="1" customHeight="1">
      <c r="A246" s="316" t="s">
        <v>373</v>
      </c>
      <c r="B246" s="317"/>
      <c r="C246" s="310" t="s">
        <v>612</v>
      </c>
      <c r="D246" s="310"/>
      <c r="E246" s="157" t="s">
        <v>390</v>
      </c>
      <c r="F246" s="152">
        <v>4134534.4950000001</v>
      </c>
      <c r="G246" s="152" t="s">
        <v>748</v>
      </c>
      <c r="H246" s="240"/>
      <c r="I246" s="189"/>
    </row>
    <row r="247" spans="1:9" ht="16.899999999999999" hidden="1" customHeight="1">
      <c r="A247" s="316" t="s">
        <v>374</v>
      </c>
      <c r="B247" s="317"/>
      <c r="C247" s="310" t="s">
        <v>611</v>
      </c>
      <c r="D247" s="310"/>
      <c r="E247" s="157" t="s">
        <v>391</v>
      </c>
      <c r="F247" s="152">
        <v>4323298.3950000005</v>
      </c>
      <c r="G247" s="152" t="s">
        <v>748</v>
      </c>
      <c r="H247" s="255"/>
      <c r="I247" s="189"/>
    </row>
    <row r="248" spans="1:9" ht="16.899999999999999" hidden="1" customHeight="1">
      <c r="A248" s="345" t="s">
        <v>375</v>
      </c>
      <c r="B248" s="344"/>
      <c r="C248" s="318" t="s">
        <v>610</v>
      </c>
      <c r="D248" s="318"/>
      <c r="E248" s="159" t="s">
        <v>392</v>
      </c>
      <c r="F248" s="152">
        <v>4557958.2750000004</v>
      </c>
      <c r="G248" s="152" t="s">
        <v>748</v>
      </c>
      <c r="H248" s="228"/>
      <c r="I248" s="189"/>
    </row>
    <row r="249" spans="1:9" ht="25.5" hidden="1" customHeight="1">
      <c r="A249" s="390" t="s">
        <v>719</v>
      </c>
      <c r="B249" s="391"/>
      <c r="C249" s="392" t="s">
        <v>728</v>
      </c>
      <c r="D249" s="392"/>
      <c r="E249" s="216" t="s">
        <v>573</v>
      </c>
      <c r="F249" s="161">
        <v>576244.5</v>
      </c>
      <c r="G249" s="152" t="s">
        <v>748</v>
      </c>
      <c r="H249" s="256"/>
      <c r="I249" s="189"/>
    </row>
    <row r="250" spans="1:9" ht="25.5" hidden="1" customHeight="1">
      <c r="A250" s="390" t="s">
        <v>734</v>
      </c>
      <c r="B250" s="391"/>
      <c r="C250" s="392" t="s">
        <v>735</v>
      </c>
      <c r="D250" s="392"/>
      <c r="E250" s="216" t="s">
        <v>385</v>
      </c>
      <c r="F250" s="161">
        <v>849098.25</v>
      </c>
      <c r="G250" s="152" t="s">
        <v>748</v>
      </c>
      <c r="H250" s="256"/>
      <c r="I250" s="189"/>
    </row>
    <row r="251" spans="1:9" ht="24" hidden="1" customHeight="1">
      <c r="A251" s="390" t="s">
        <v>738</v>
      </c>
      <c r="B251" s="391"/>
      <c r="C251" s="392" t="s">
        <v>727</v>
      </c>
      <c r="D251" s="392"/>
      <c r="E251" s="216" t="s">
        <v>739</v>
      </c>
      <c r="F251" s="161">
        <v>1066465.1400000001</v>
      </c>
      <c r="G251" s="152" t="s">
        <v>748</v>
      </c>
      <c r="H251" s="256"/>
      <c r="I251" s="189"/>
    </row>
    <row r="252" spans="1:9" ht="24" hidden="1" customHeight="1">
      <c r="A252" s="390" t="s">
        <v>745</v>
      </c>
      <c r="B252" s="391"/>
      <c r="C252" s="392" t="s">
        <v>727</v>
      </c>
      <c r="D252" s="392"/>
      <c r="E252" s="216" t="s">
        <v>385</v>
      </c>
      <c r="F252" s="161">
        <v>1003197</v>
      </c>
      <c r="G252" s="152" t="s">
        <v>748</v>
      </c>
      <c r="H252" s="256"/>
      <c r="I252" s="189"/>
    </row>
    <row r="253" spans="1:9" ht="24" hidden="1" customHeight="1">
      <c r="A253" s="390" t="s">
        <v>736</v>
      </c>
      <c r="B253" s="391"/>
      <c r="C253" s="392" t="s">
        <v>727</v>
      </c>
      <c r="D253" s="392"/>
      <c r="E253" s="216" t="s">
        <v>737</v>
      </c>
      <c r="F253" s="161">
        <v>1225613.8049999999</v>
      </c>
      <c r="G253" s="152" t="s">
        <v>748</v>
      </c>
      <c r="H253" s="256"/>
      <c r="I253" s="189"/>
    </row>
    <row r="254" spans="1:9" ht="16.899999999999999" hidden="1" customHeight="1">
      <c r="A254" s="345" t="s">
        <v>692</v>
      </c>
      <c r="B254" s="344"/>
      <c r="C254" s="318" t="s">
        <v>694</v>
      </c>
      <c r="D254" s="318"/>
      <c r="E254" s="159" t="s">
        <v>693</v>
      </c>
      <c r="F254" s="152">
        <v>1312367.1599999999</v>
      </c>
      <c r="G254" s="152" t="s">
        <v>748</v>
      </c>
      <c r="H254" s="228" t="s">
        <v>219</v>
      </c>
      <c r="I254" s="189"/>
    </row>
    <row r="255" spans="1:9" ht="16.899999999999999" hidden="1" customHeight="1">
      <c r="A255" s="345" t="s">
        <v>552</v>
      </c>
      <c r="B255" s="344"/>
      <c r="C255" s="318" t="s">
        <v>609</v>
      </c>
      <c r="D255" s="318"/>
      <c r="E255" s="159" t="s">
        <v>550</v>
      </c>
      <c r="F255" s="152">
        <v>1379554.2150000001</v>
      </c>
      <c r="G255" s="152" t="s">
        <v>748</v>
      </c>
      <c r="H255" s="228"/>
      <c r="I255" s="170"/>
    </row>
    <row r="256" spans="1:9" ht="16.899999999999999" hidden="1" customHeight="1">
      <c r="A256" s="345" t="s">
        <v>553</v>
      </c>
      <c r="B256" s="344"/>
      <c r="C256" s="318" t="s">
        <v>614</v>
      </c>
      <c r="D256" s="318"/>
      <c r="E256" s="159" t="s">
        <v>551</v>
      </c>
      <c r="F256" s="152">
        <v>1507996.23</v>
      </c>
      <c r="G256" s="152" t="s">
        <v>748</v>
      </c>
      <c r="H256" s="228"/>
      <c r="I256" s="170"/>
    </row>
    <row r="257" spans="1:9" ht="16.899999999999999" hidden="1" customHeight="1">
      <c r="A257" s="345" t="s">
        <v>554</v>
      </c>
      <c r="B257" s="344"/>
      <c r="C257" s="318" t="s">
        <v>616</v>
      </c>
      <c r="D257" s="318"/>
      <c r="E257" s="159" t="s">
        <v>386</v>
      </c>
      <c r="F257" s="152">
        <v>1674728.25</v>
      </c>
      <c r="G257" s="152" t="s">
        <v>748</v>
      </c>
      <c r="H257" s="228"/>
      <c r="I257" s="170"/>
    </row>
    <row r="258" spans="1:9" ht="16.899999999999999" hidden="1" customHeight="1">
      <c r="A258" s="345" t="s">
        <v>555</v>
      </c>
      <c r="B258" s="344"/>
      <c r="C258" s="318" t="s">
        <v>615</v>
      </c>
      <c r="D258" s="318"/>
      <c r="E258" s="159" t="s">
        <v>387</v>
      </c>
      <c r="F258" s="152">
        <v>1792058.1900000002</v>
      </c>
      <c r="G258" s="152" t="s">
        <v>748</v>
      </c>
      <c r="H258" s="228"/>
      <c r="I258" s="170"/>
    </row>
    <row r="259" spans="1:9" ht="16.899999999999999" hidden="1" customHeight="1">
      <c r="A259" s="345" t="s">
        <v>556</v>
      </c>
      <c r="B259" s="344"/>
      <c r="C259" s="318" t="s">
        <v>617</v>
      </c>
      <c r="D259" s="318"/>
      <c r="E259" s="159" t="s">
        <v>388</v>
      </c>
      <c r="F259" s="152">
        <v>2265958.5</v>
      </c>
      <c r="G259" s="152" t="s">
        <v>748</v>
      </c>
      <c r="H259" s="228"/>
      <c r="I259" s="170"/>
    </row>
    <row r="260" spans="1:9" ht="16.899999999999999" hidden="1" customHeight="1">
      <c r="A260" s="317" t="s">
        <v>557</v>
      </c>
      <c r="B260" s="317"/>
      <c r="C260" s="310" t="s">
        <v>618</v>
      </c>
      <c r="D260" s="310"/>
      <c r="E260" s="157" t="s">
        <v>389</v>
      </c>
      <c r="F260" s="150">
        <v>2583204</v>
      </c>
      <c r="G260" s="152" t="s">
        <v>748</v>
      </c>
      <c r="H260" s="59"/>
      <c r="I260" s="170"/>
    </row>
    <row r="261" spans="1:9" ht="16.899999999999999" hidden="1" customHeight="1">
      <c r="A261" s="317" t="s">
        <v>568</v>
      </c>
      <c r="B261" s="317"/>
      <c r="C261" s="310" t="s">
        <v>616</v>
      </c>
      <c r="D261" s="310"/>
      <c r="E261" s="150" t="s">
        <v>386</v>
      </c>
      <c r="F261" s="150">
        <v>2355245.2950000004</v>
      </c>
      <c r="G261" s="152" t="s">
        <v>748</v>
      </c>
      <c r="H261" s="59"/>
      <c r="I261" s="170"/>
    </row>
    <row r="262" spans="1:9" ht="16.899999999999999" hidden="1" customHeight="1">
      <c r="A262" s="317" t="s">
        <v>579</v>
      </c>
      <c r="B262" s="317"/>
      <c r="C262" s="310" t="s">
        <v>615</v>
      </c>
      <c r="D262" s="310"/>
      <c r="E262" s="150" t="s">
        <v>387</v>
      </c>
      <c r="F262" s="150">
        <v>2785658.6550000003</v>
      </c>
      <c r="G262" s="152" t="s">
        <v>748</v>
      </c>
      <c r="H262" s="59"/>
      <c r="I262" s="170"/>
    </row>
    <row r="263" spans="1:9" ht="16.899999999999999" hidden="1" customHeight="1">
      <c r="A263" s="317" t="s">
        <v>671</v>
      </c>
      <c r="B263" s="317"/>
      <c r="C263" s="310" t="s">
        <v>617</v>
      </c>
      <c r="D263" s="310"/>
      <c r="E263" s="150" t="s">
        <v>388</v>
      </c>
      <c r="F263" s="150">
        <v>3277072.5</v>
      </c>
      <c r="G263" s="152" t="s">
        <v>748</v>
      </c>
      <c r="H263" s="59"/>
      <c r="I263" s="170"/>
    </row>
    <row r="264" spans="1:9" ht="16.899999999999999" hidden="1" customHeight="1">
      <c r="A264" s="317" t="s">
        <v>569</v>
      </c>
      <c r="B264" s="317"/>
      <c r="C264" s="310" t="s">
        <v>618</v>
      </c>
      <c r="D264" s="310"/>
      <c r="E264" s="150" t="s">
        <v>389</v>
      </c>
      <c r="F264" s="150">
        <v>3332785.5600000005</v>
      </c>
      <c r="G264" s="152" t="s">
        <v>748</v>
      </c>
      <c r="H264" s="59" t="s">
        <v>219</v>
      </c>
      <c r="I264" s="170"/>
    </row>
    <row r="265" spans="1:9" ht="16.899999999999999" hidden="1" customHeight="1">
      <c r="A265" s="317" t="s">
        <v>570</v>
      </c>
      <c r="B265" s="317"/>
      <c r="C265" s="310" t="s">
        <v>619</v>
      </c>
      <c r="D265" s="310"/>
      <c r="E265" s="150" t="s">
        <v>391</v>
      </c>
      <c r="F265" s="150">
        <v>3947223.93</v>
      </c>
      <c r="G265" s="152" t="s">
        <v>748</v>
      </c>
      <c r="H265" s="59" t="s">
        <v>724</v>
      </c>
      <c r="I265" s="170"/>
    </row>
    <row r="266" spans="1:9" ht="16.899999999999999" hidden="1" customHeight="1">
      <c r="A266" s="317" t="s">
        <v>580</v>
      </c>
      <c r="B266" s="317"/>
      <c r="C266" s="310" t="s">
        <v>620</v>
      </c>
      <c r="D266" s="310"/>
      <c r="E266" s="150" t="s">
        <v>392</v>
      </c>
      <c r="F266" s="150">
        <v>4047882.93</v>
      </c>
      <c r="G266" s="152" t="s">
        <v>748</v>
      </c>
      <c r="H266" s="59"/>
      <c r="I266" s="170"/>
    </row>
    <row r="267" spans="1:9" ht="16.899999999999999" hidden="1" customHeight="1">
      <c r="A267" s="317" t="s">
        <v>672</v>
      </c>
      <c r="B267" s="317"/>
      <c r="C267" s="310" t="s">
        <v>673</v>
      </c>
      <c r="D267" s="310"/>
      <c r="E267" s="150" t="s">
        <v>674</v>
      </c>
      <c r="F267" s="150">
        <v>4432603.8900000006</v>
      </c>
      <c r="G267" s="152" t="s">
        <v>748</v>
      </c>
      <c r="H267" s="167"/>
      <c r="I267" s="170"/>
    </row>
    <row r="268" spans="1:9" ht="16.899999999999999" hidden="1" customHeight="1" thickBot="1">
      <c r="A268" s="344" t="s">
        <v>581</v>
      </c>
      <c r="B268" s="344"/>
      <c r="C268" s="318" t="s">
        <v>621</v>
      </c>
      <c r="D268" s="318"/>
      <c r="E268" s="153" t="s">
        <v>582</v>
      </c>
      <c r="F268" s="153">
        <v>5859088.9500000002</v>
      </c>
      <c r="G268" s="152" t="s">
        <v>748</v>
      </c>
      <c r="H268" s="167"/>
      <c r="I268" s="170"/>
    </row>
    <row r="269" spans="1:9" ht="16.899999999999999" hidden="1" customHeight="1" thickBot="1">
      <c r="A269" s="340" t="s">
        <v>640</v>
      </c>
      <c r="B269" s="341"/>
      <c r="C269" s="341"/>
      <c r="D269" s="341"/>
      <c r="E269" s="341"/>
      <c r="F269" s="341"/>
      <c r="G269" s="341"/>
      <c r="H269" s="342"/>
      <c r="I269" s="170"/>
    </row>
    <row r="270" spans="1:9" ht="16.149999999999999" hidden="1" customHeight="1">
      <c r="A270" s="346" t="s">
        <v>299</v>
      </c>
      <c r="B270" s="347"/>
      <c r="C270" s="348" t="s">
        <v>639</v>
      </c>
      <c r="D270" s="348"/>
      <c r="E270" s="193" t="s">
        <v>1</v>
      </c>
      <c r="F270" s="154">
        <v>17598.36</v>
      </c>
      <c r="G270" s="152" t="s">
        <v>748</v>
      </c>
      <c r="H270" s="236"/>
      <c r="I270" s="170"/>
    </row>
    <row r="271" spans="1:9" ht="16.149999999999999" hidden="1" customHeight="1">
      <c r="A271" s="316" t="s">
        <v>300</v>
      </c>
      <c r="B271" s="317"/>
      <c r="C271" s="343" t="s">
        <v>639</v>
      </c>
      <c r="D271" s="343"/>
      <c r="E271" s="160" t="s">
        <v>1</v>
      </c>
      <c r="F271" s="151">
        <v>22173.255000000005</v>
      </c>
      <c r="G271" s="152" t="s">
        <v>748</v>
      </c>
      <c r="H271" s="208"/>
      <c r="I271" s="170"/>
    </row>
    <row r="272" spans="1:9" ht="16.149999999999999" hidden="1" customHeight="1">
      <c r="A272" s="316" t="s">
        <v>301</v>
      </c>
      <c r="B272" s="317"/>
      <c r="C272" s="343" t="s">
        <v>639</v>
      </c>
      <c r="D272" s="343"/>
      <c r="E272" s="160" t="s">
        <v>1</v>
      </c>
      <c r="F272" s="151">
        <v>33274.020000000004</v>
      </c>
      <c r="G272" s="152" t="s">
        <v>748</v>
      </c>
      <c r="H272" s="208"/>
      <c r="I272" s="170"/>
    </row>
    <row r="273" spans="1:9" ht="16.149999999999999" hidden="1" customHeight="1">
      <c r="A273" s="316" t="s">
        <v>356</v>
      </c>
      <c r="B273" s="317"/>
      <c r="C273" s="343" t="s">
        <v>639</v>
      </c>
      <c r="D273" s="343"/>
      <c r="E273" s="160" t="s">
        <v>1</v>
      </c>
      <c r="F273" s="151">
        <v>58048.575000000004</v>
      </c>
      <c r="G273" s="152" t="s">
        <v>748</v>
      </c>
      <c r="H273" s="208"/>
      <c r="I273" s="170"/>
    </row>
    <row r="274" spans="1:9" ht="16.149999999999999" hidden="1" customHeight="1">
      <c r="A274" s="316" t="s">
        <v>407</v>
      </c>
      <c r="B274" s="317"/>
      <c r="C274" s="343" t="s">
        <v>638</v>
      </c>
      <c r="D274" s="343"/>
      <c r="E274" s="160" t="s">
        <v>1</v>
      </c>
      <c r="F274" s="151">
        <v>54050.49</v>
      </c>
      <c r="G274" s="152" t="s">
        <v>748</v>
      </c>
      <c r="H274" s="208"/>
      <c r="I274" s="170"/>
    </row>
    <row r="275" spans="1:9" ht="16.149999999999999" hidden="1" customHeight="1">
      <c r="A275" s="316" t="s">
        <v>408</v>
      </c>
      <c r="B275" s="317"/>
      <c r="C275" s="343" t="s">
        <v>638</v>
      </c>
      <c r="D275" s="343"/>
      <c r="E275" s="160" t="s">
        <v>1</v>
      </c>
      <c r="F275" s="151">
        <v>114734.295</v>
      </c>
      <c r="G275" s="152" t="s">
        <v>748</v>
      </c>
      <c r="H275" s="208"/>
      <c r="I275" s="170"/>
    </row>
    <row r="276" spans="1:9" ht="16.149999999999999" hidden="1" customHeight="1">
      <c r="A276" s="316" t="s">
        <v>409</v>
      </c>
      <c r="B276" s="317"/>
      <c r="C276" s="343" t="s">
        <v>638</v>
      </c>
      <c r="D276" s="343"/>
      <c r="E276" s="160" t="s">
        <v>1</v>
      </c>
      <c r="F276" s="151">
        <v>171448.29000000004</v>
      </c>
      <c r="G276" s="152" t="s">
        <v>748</v>
      </c>
      <c r="H276" s="208"/>
      <c r="I276" s="170"/>
    </row>
    <row r="277" spans="1:9" ht="24" hidden="1" customHeight="1">
      <c r="A277" s="316" t="s">
        <v>641</v>
      </c>
      <c r="B277" s="317"/>
      <c r="C277" s="310" t="s">
        <v>644</v>
      </c>
      <c r="D277" s="310"/>
      <c r="E277" s="157" t="s">
        <v>1</v>
      </c>
      <c r="F277" s="150">
        <v>159555.82499999998</v>
      </c>
      <c r="G277" s="152" t="s">
        <v>748</v>
      </c>
      <c r="H277" s="257"/>
      <c r="I277" s="170"/>
    </row>
    <row r="278" spans="1:9" ht="24" hidden="1" customHeight="1">
      <c r="A278" s="316" t="s">
        <v>642</v>
      </c>
      <c r="B278" s="317"/>
      <c r="C278" s="310" t="s">
        <v>645</v>
      </c>
      <c r="D278" s="310"/>
      <c r="E278" s="157" t="s">
        <v>1</v>
      </c>
      <c r="F278" s="150">
        <v>165572.74500000002</v>
      </c>
      <c r="G278" s="152" t="s">
        <v>748</v>
      </c>
      <c r="H278" s="208"/>
      <c r="I278" s="170"/>
    </row>
    <row r="279" spans="1:9" ht="24" hidden="1" customHeight="1">
      <c r="A279" s="316" t="s">
        <v>643</v>
      </c>
      <c r="B279" s="317"/>
      <c r="C279" s="310" t="s">
        <v>646</v>
      </c>
      <c r="D279" s="310"/>
      <c r="E279" s="157" t="s">
        <v>1</v>
      </c>
      <c r="F279" s="150">
        <v>199695.01499999998</v>
      </c>
      <c r="G279" s="152" t="s">
        <v>748</v>
      </c>
      <c r="H279" s="208"/>
      <c r="I279" s="170"/>
    </row>
    <row r="280" spans="1:9" ht="28.5" hidden="1" customHeight="1">
      <c r="A280" s="316" t="s">
        <v>647</v>
      </c>
      <c r="B280" s="317"/>
      <c r="C280" s="310" t="s">
        <v>648</v>
      </c>
      <c r="D280" s="310"/>
      <c r="E280" s="157" t="s">
        <v>1</v>
      </c>
      <c r="F280" s="150">
        <v>149439.03</v>
      </c>
      <c r="G280" s="152" t="s">
        <v>748</v>
      </c>
      <c r="H280" s="208" t="s">
        <v>219</v>
      </c>
      <c r="I280" s="170"/>
    </row>
    <row r="281" spans="1:9" ht="28.5" hidden="1" customHeight="1" thickBot="1">
      <c r="A281" s="326" t="s">
        <v>675</v>
      </c>
      <c r="B281" s="327"/>
      <c r="C281" s="315" t="s">
        <v>676</v>
      </c>
      <c r="D281" s="315"/>
      <c r="E281" s="175" t="s">
        <v>1</v>
      </c>
      <c r="F281" s="149">
        <v>1102283.9100000001</v>
      </c>
      <c r="G281" s="152" t="s">
        <v>748</v>
      </c>
      <c r="H281" s="227" t="s">
        <v>219</v>
      </c>
      <c r="I281" s="170"/>
    </row>
  </sheetData>
  <sheetProtection password="C617" sheet="1" objects="1" scenarios="1" selectLockedCells="1" selectUnlockedCells="1"/>
  <mergeCells count="369">
    <mergeCell ref="C215:D215"/>
    <mergeCell ref="A193:B193"/>
    <mergeCell ref="A250:B250"/>
    <mergeCell ref="C250:D250"/>
    <mergeCell ref="A253:B253"/>
    <mergeCell ref="C253:D253"/>
    <mergeCell ref="A251:B251"/>
    <mergeCell ref="C251:D251"/>
    <mergeCell ref="A214:B214"/>
    <mergeCell ref="A215:B215"/>
    <mergeCell ref="C214:D214"/>
    <mergeCell ref="A194:B194"/>
    <mergeCell ref="A252:B252"/>
    <mergeCell ref="C252:D252"/>
    <mergeCell ref="A249:B249"/>
    <mergeCell ref="C249:D249"/>
    <mergeCell ref="D191:D194"/>
    <mergeCell ref="C212:D212"/>
    <mergeCell ref="A216:B216"/>
    <mergeCell ref="C204:D204"/>
    <mergeCell ref="A192:B192"/>
    <mergeCell ref="A182:B182"/>
    <mergeCell ref="C184:D184"/>
    <mergeCell ref="C207:D207"/>
    <mergeCell ref="A207:B207"/>
    <mergeCell ref="A203:H203"/>
    <mergeCell ref="A12:A16"/>
    <mergeCell ref="D12:D16"/>
    <mergeCell ref="A35:H35"/>
    <mergeCell ref="A36:A40"/>
    <mergeCell ref="A24:A28"/>
    <mergeCell ref="D24:D28"/>
    <mergeCell ref="C144:D144"/>
    <mergeCell ref="C143:D143"/>
    <mergeCell ref="C228:D228"/>
    <mergeCell ref="A163:B163"/>
    <mergeCell ref="A165:B165"/>
    <mergeCell ref="A178:B178"/>
    <mergeCell ref="A201:B201"/>
    <mergeCell ref="C213:D213"/>
    <mergeCell ref="A213:B213"/>
    <mergeCell ref="A164:B164"/>
    <mergeCell ref="C217:D217"/>
    <mergeCell ref="C227:D227"/>
    <mergeCell ref="C218:D218"/>
    <mergeCell ref="C223:D223"/>
    <mergeCell ref="C222:D222"/>
    <mergeCell ref="C220:D220"/>
    <mergeCell ref="C221:D221"/>
    <mergeCell ref="C225:D225"/>
    <mergeCell ref="C224:D224"/>
    <mergeCell ref="A234:B234"/>
    <mergeCell ref="A228:B228"/>
    <mergeCell ref="A232:B232"/>
    <mergeCell ref="A221:B221"/>
    <mergeCell ref="A226:B226"/>
    <mergeCell ref="A233:B233"/>
    <mergeCell ref="A157:B157"/>
    <mergeCell ref="C157:D157"/>
    <mergeCell ref="A180:B180"/>
    <mergeCell ref="A159:H159"/>
    <mergeCell ref="A162:H162"/>
    <mergeCell ref="A179:B179"/>
    <mergeCell ref="A175:B175"/>
    <mergeCell ref="A171:B171"/>
    <mergeCell ref="A173:B173"/>
    <mergeCell ref="C244:D244"/>
    <mergeCell ref="A196:B196"/>
    <mergeCell ref="A197:B197"/>
    <mergeCell ref="A177:B177"/>
    <mergeCell ref="A170:B170"/>
    <mergeCell ref="C240:D240"/>
    <mergeCell ref="A235:B235"/>
    <mergeCell ref="A229:B229"/>
    <mergeCell ref="A220:B220"/>
    <mergeCell ref="A218:B218"/>
    <mergeCell ref="A223:B223"/>
    <mergeCell ref="C158:D158"/>
    <mergeCell ref="A158:B158"/>
    <mergeCell ref="A186:B186"/>
    <mergeCell ref="A161:B161"/>
    <mergeCell ref="A257:B257"/>
    <mergeCell ref="A255:B255"/>
    <mergeCell ref="C255:D255"/>
    <mergeCell ref="C201:D201"/>
    <mergeCell ref="A166:B166"/>
    <mergeCell ref="A79:B79"/>
    <mergeCell ref="C141:D141"/>
    <mergeCell ref="A153:B153"/>
    <mergeCell ref="A154:B154"/>
    <mergeCell ref="A137:B137"/>
    <mergeCell ref="A139:B139"/>
    <mergeCell ref="A151:B151"/>
    <mergeCell ref="C150:D150"/>
    <mergeCell ref="A143:B143"/>
    <mergeCell ref="C138:D138"/>
    <mergeCell ref="C133:D133"/>
    <mergeCell ref="A135:B135"/>
    <mergeCell ref="A147:B147"/>
    <mergeCell ref="A146:B146"/>
    <mergeCell ref="A152:B152"/>
    <mergeCell ref="A150:B150"/>
    <mergeCell ref="A145:H145"/>
    <mergeCell ref="C147:D147"/>
    <mergeCell ref="A148:B148"/>
    <mergeCell ref="C148:D148"/>
    <mergeCell ref="D96:D101"/>
    <mergeCell ref="D90:D95"/>
    <mergeCell ref="A97:B97"/>
    <mergeCell ref="A127:B127"/>
    <mergeCell ref="A93:B93"/>
    <mergeCell ref="A92:B92"/>
    <mergeCell ref="A98:B98"/>
    <mergeCell ref="D103:D112"/>
    <mergeCell ref="A52:H52"/>
    <mergeCell ref="A46:A49"/>
    <mergeCell ref="D36:D40"/>
    <mergeCell ref="A76:B76"/>
    <mergeCell ref="A71:B71"/>
    <mergeCell ref="A41:H41"/>
    <mergeCell ref="A54:H54"/>
    <mergeCell ref="A62:A65"/>
    <mergeCell ref="A73:B73"/>
    <mergeCell ref="D76:D77"/>
    <mergeCell ref="D79:D88"/>
    <mergeCell ref="A55:A58"/>
    <mergeCell ref="A91:B91"/>
    <mergeCell ref="A118:B118"/>
    <mergeCell ref="D55:D58"/>
    <mergeCell ref="A87:B87"/>
    <mergeCell ref="A103:B103"/>
    <mergeCell ref="A113:B113"/>
    <mergeCell ref="A69:H69"/>
    <mergeCell ref="A18:A22"/>
    <mergeCell ref="A30:A34"/>
    <mergeCell ref="D18:D22"/>
    <mergeCell ref="D30:D34"/>
    <mergeCell ref="A29:H29"/>
    <mergeCell ref="A23:H23"/>
    <mergeCell ref="D62:D65"/>
    <mergeCell ref="A42:A44"/>
    <mergeCell ref="D42:D44"/>
    <mergeCell ref="A89:H89"/>
    <mergeCell ref="A83:B83"/>
    <mergeCell ref="A85:B85"/>
    <mergeCell ref="A80:B80"/>
    <mergeCell ref="A75:B75"/>
    <mergeCell ref="A81:B81"/>
    <mergeCell ref="A82:B82"/>
    <mergeCell ref="A88:B88"/>
    <mergeCell ref="A84:B84"/>
    <mergeCell ref="D72:D75"/>
    <mergeCell ref="A2:H2"/>
    <mergeCell ref="A70:B70"/>
    <mergeCell ref="A77:B77"/>
    <mergeCell ref="A100:B100"/>
    <mergeCell ref="A17:H17"/>
    <mergeCell ref="A67:H67"/>
    <mergeCell ref="D46:D49"/>
    <mergeCell ref="A45:H45"/>
    <mergeCell ref="A90:B90"/>
    <mergeCell ref="D7:D10"/>
    <mergeCell ref="A1:G1"/>
    <mergeCell ref="A5:B5"/>
    <mergeCell ref="C5:D5"/>
    <mergeCell ref="A3:G3"/>
    <mergeCell ref="E4:H4"/>
    <mergeCell ref="A114:B114"/>
    <mergeCell ref="A78:H78"/>
    <mergeCell ref="A95:B95"/>
    <mergeCell ref="A102:H102"/>
    <mergeCell ref="A86:B86"/>
    <mergeCell ref="A107:B107"/>
    <mergeCell ref="A109:B109"/>
    <mergeCell ref="A106:B106"/>
    <mergeCell ref="A108:B108"/>
    <mergeCell ref="A123:B123"/>
    <mergeCell ref="A122:H122"/>
    <mergeCell ref="A119:B119"/>
    <mergeCell ref="A120:B120"/>
    <mergeCell ref="D117:D121"/>
    <mergeCell ref="A110:B110"/>
    <mergeCell ref="A94:B94"/>
    <mergeCell ref="A96:B96"/>
    <mergeCell ref="A99:B99"/>
    <mergeCell ref="A112:B112"/>
    <mergeCell ref="A115:B115"/>
    <mergeCell ref="A134:B134"/>
    <mergeCell ref="A117:B117"/>
    <mergeCell ref="A124:H124"/>
    <mergeCell ref="A104:B104"/>
    <mergeCell ref="A105:B105"/>
    <mergeCell ref="A136:B136"/>
    <mergeCell ref="A125:B125"/>
    <mergeCell ref="A129:H129"/>
    <mergeCell ref="C136:D136"/>
    <mergeCell ref="A138:B138"/>
    <mergeCell ref="A128:B128"/>
    <mergeCell ref="A126:B126"/>
    <mergeCell ref="A133:B133"/>
    <mergeCell ref="A131:B131"/>
    <mergeCell ref="A132:H132"/>
    <mergeCell ref="A116:B116"/>
    <mergeCell ref="C137:D137"/>
    <mergeCell ref="A155:B155"/>
    <mergeCell ref="A217:B217"/>
    <mergeCell ref="A149:B149"/>
    <mergeCell ref="A210:B210"/>
    <mergeCell ref="A187:B187"/>
    <mergeCell ref="C154:D154"/>
    <mergeCell ref="C134:D134"/>
    <mergeCell ref="C135:D135"/>
    <mergeCell ref="A200:B200"/>
    <mergeCell ref="A181:B181"/>
    <mergeCell ref="A121:B121"/>
    <mergeCell ref="A195:H195"/>
    <mergeCell ref="A185:H185"/>
    <mergeCell ref="A174:B174"/>
    <mergeCell ref="A188:B188"/>
    <mergeCell ref="A140:B140"/>
    <mergeCell ref="C140:D140"/>
    <mergeCell ref="A141:B141"/>
    <mergeCell ref="C152:D152"/>
    <mergeCell ref="C139:D139"/>
    <mergeCell ref="A142:B142"/>
    <mergeCell ref="C151:D151"/>
    <mergeCell ref="C153:D153"/>
    <mergeCell ref="A156:B156"/>
    <mergeCell ref="C146:D146"/>
    <mergeCell ref="C156:D156"/>
    <mergeCell ref="C155:D155"/>
    <mergeCell ref="A144:B144"/>
    <mergeCell ref="D113:D116"/>
    <mergeCell ref="A199:B199"/>
    <mergeCell ref="A172:B172"/>
    <mergeCell ref="A248:B248"/>
    <mergeCell ref="A246:B246"/>
    <mergeCell ref="A247:B247"/>
    <mergeCell ref="A225:B225"/>
    <mergeCell ref="C142:D142"/>
    <mergeCell ref="C209:D209"/>
    <mergeCell ref="A160:B160"/>
    <mergeCell ref="C266:D266"/>
    <mergeCell ref="A271:B271"/>
    <mergeCell ref="A270:B270"/>
    <mergeCell ref="A276:B276"/>
    <mergeCell ref="A264:B264"/>
    <mergeCell ref="A265:B265"/>
    <mergeCell ref="A268:B268"/>
    <mergeCell ref="C272:D272"/>
    <mergeCell ref="C270:D270"/>
    <mergeCell ref="A242:B242"/>
    <mergeCell ref="A209:B209"/>
    <mergeCell ref="C280:D280"/>
    <mergeCell ref="A261:B261"/>
    <mergeCell ref="A258:B258"/>
    <mergeCell ref="A254:B254"/>
    <mergeCell ref="A237:B237"/>
    <mergeCell ref="A272:B272"/>
    <mergeCell ref="A260:B260"/>
    <mergeCell ref="A239:B239"/>
    <mergeCell ref="C210:D210"/>
    <mergeCell ref="A243:B243"/>
    <mergeCell ref="A224:B224"/>
    <mergeCell ref="A211:B211"/>
    <mergeCell ref="A227:B227"/>
    <mergeCell ref="A277:B277"/>
    <mergeCell ref="C273:D273"/>
    <mergeCell ref="C275:D275"/>
    <mergeCell ref="C279:D279"/>
    <mergeCell ref="A280:B280"/>
    <mergeCell ref="C271:D271"/>
    <mergeCell ref="A240:B240"/>
    <mergeCell ref="A266:B266"/>
    <mergeCell ref="A263:B263"/>
    <mergeCell ref="A259:B259"/>
    <mergeCell ref="C278:D278"/>
    <mergeCell ref="C276:D276"/>
    <mergeCell ref="A241:B241"/>
    <mergeCell ref="A256:B256"/>
    <mergeCell ref="A274:B274"/>
    <mergeCell ref="A273:B273"/>
    <mergeCell ref="A269:H269"/>
    <mergeCell ref="C274:D274"/>
    <mergeCell ref="A281:B281"/>
    <mergeCell ref="A275:B275"/>
    <mergeCell ref="A6:H6"/>
    <mergeCell ref="A111:B111"/>
    <mergeCell ref="C149:D149"/>
    <mergeCell ref="A74:B74"/>
    <mergeCell ref="A72:B72"/>
    <mergeCell ref="A7:A10"/>
    <mergeCell ref="A11:H11"/>
    <mergeCell ref="A50:H50"/>
    <mergeCell ref="A101:B101"/>
    <mergeCell ref="A130:B130"/>
    <mergeCell ref="A208:B208"/>
    <mergeCell ref="C206:D206"/>
    <mergeCell ref="C208:D208"/>
    <mergeCell ref="A205:B205"/>
    <mergeCell ref="C205:D205"/>
    <mergeCell ref="A204:B204"/>
    <mergeCell ref="A206:B206"/>
    <mergeCell ref="C202:D202"/>
    <mergeCell ref="A202:B202"/>
    <mergeCell ref="A168:B168"/>
    <mergeCell ref="A169:B169"/>
    <mergeCell ref="A176:B176"/>
    <mergeCell ref="A198:B198"/>
    <mergeCell ref="A183:B183"/>
    <mergeCell ref="C183:D183"/>
    <mergeCell ref="A189:B189"/>
    <mergeCell ref="A184:B184"/>
    <mergeCell ref="A190:H190"/>
    <mergeCell ref="A191:B191"/>
    <mergeCell ref="C263:D263"/>
    <mergeCell ref="C256:D256"/>
    <mergeCell ref="C260:D260"/>
    <mergeCell ref="C261:D261"/>
    <mergeCell ref="C258:D258"/>
    <mergeCell ref="C254:D254"/>
    <mergeCell ref="C259:D259"/>
    <mergeCell ref="I96:I101"/>
    <mergeCell ref="C226:D226"/>
    <mergeCell ref="A262:B262"/>
    <mergeCell ref="C262:D262"/>
    <mergeCell ref="C216:D216"/>
    <mergeCell ref="C257:D257"/>
    <mergeCell ref="C247:D247"/>
    <mergeCell ref="C248:D248"/>
    <mergeCell ref="C211:D211"/>
    <mergeCell ref="A167:B167"/>
    <mergeCell ref="C239:D239"/>
    <mergeCell ref="A222:B222"/>
    <mergeCell ref="C246:D246"/>
    <mergeCell ref="C238:D238"/>
    <mergeCell ref="A278:B278"/>
    <mergeCell ref="A279:B279"/>
    <mergeCell ref="C264:D264"/>
    <mergeCell ref="A244:B244"/>
    <mergeCell ref="A236:B236"/>
    <mergeCell ref="C242:D242"/>
    <mergeCell ref="C231:D231"/>
    <mergeCell ref="A267:B267"/>
    <mergeCell ref="C267:D267"/>
    <mergeCell ref="C245:D245"/>
    <mergeCell ref="C243:D243"/>
    <mergeCell ref="A245:B245"/>
    <mergeCell ref="A238:B238"/>
    <mergeCell ref="C233:D233"/>
    <mergeCell ref="C232:D232"/>
    <mergeCell ref="C281:D281"/>
    <mergeCell ref="C277:D277"/>
    <mergeCell ref="C235:D235"/>
    <mergeCell ref="C268:D268"/>
    <mergeCell ref="C237:D237"/>
    <mergeCell ref="C241:D241"/>
    <mergeCell ref="C236:D236"/>
    <mergeCell ref="C265:D265"/>
    <mergeCell ref="A59:A61"/>
    <mergeCell ref="D59:D61"/>
    <mergeCell ref="A212:B212"/>
    <mergeCell ref="C234:D234"/>
    <mergeCell ref="A219:B219"/>
    <mergeCell ref="C219:D219"/>
    <mergeCell ref="A230:B230"/>
    <mergeCell ref="C229:D229"/>
    <mergeCell ref="C230:D230"/>
    <mergeCell ref="A231:B231"/>
  </mergeCells>
  <printOptions horizontalCentered="1"/>
  <pageMargins left="0" right="0" top="0" bottom="0" header="0" footer="0"/>
  <pageSetup paperSize="9" scale="77" fitToHeight="3" orientation="portrait" horizontalDpi="300" verticalDpi="1200" r:id="rId1"/>
  <rowBreaks count="5" manualBreakCount="5">
    <brk id="49" max="7" man="1"/>
    <brk id="95" max="7" man="1"/>
    <brk id="139" max="7" man="1"/>
    <brk id="184" max="7" man="1"/>
    <brk id="23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26"/>
  <sheetViews>
    <sheetView view="pageBreakPreview" zoomScaleSheetLayoutView="100" workbookViewId="0">
      <selection activeCell="H4" sqref="H4"/>
    </sheetView>
  </sheetViews>
  <sheetFormatPr defaultRowHeight="12.75"/>
  <cols>
    <col min="2" max="2" width="16.42578125" customWidth="1"/>
    <col min="3" max="3" width="11.5703125" customWidth="1"/>
    <col min="4" max="4" width="43.42578125" customWidth="1"/>
    <col min="6" max="6" width="7" customWidth="1"/>
    <col min="7" max="7" width="11.42578125" customWidth="1"/>
    <col min="8" max="8" width="11.28515625" customWidth="1"/>
    <col min="9" max="9" width="13.28515625" hidden="1" customWidth="1"/>
  </cols>
  <sheetData>
    <row r="3" spans="1:9">
      <c r="G3" s="408">
        <v>42431</v>
      </c>
      <c r="H3" s="409"/>
    </row>
    <row r="4" spans="1:9" ht="33.75">
      <c r="A4" s="29"/>
      <c r="C4" s="29"/>
      <c r="D4" s="33" t="s">
        <v>61</v>
      </c>
      <c r="E4" s="31"/>
      <c r="F4" s="10"/>
      <c r="G4" s="13"/>
      <c r="H4" s="87">
        <v>345</v>
      </c>
    </row>
    <row r="5" spans="1:9" ht="15.75">
      <c r="A5" s="30" t="s">
        <v>59</v>
      </c>
      <c r="B5" s="29"/>
      <c r="C5" s="29"/>
      <c r="D5" s="29"/>
      <c r="E5" s="31"/>
      <c r="F5" s="10"/>
      <c r="G5" s="13"/>
      <c r="H5" s="13"/>
    </row>
    <row r="6" spans="1:9" ht="15.75">
      <c r="A6" s="30" t="s">
        <v>83</v>
      </c>
      <c r="B6" s="29"/>
      <c r="C6" s="29"/>
      <c r="D6" s="29"/>
      <c r="E6" s="31"/>
      <c r="F6" s="35"/>
      <c r="G6" s="35"/>
      <c r="H6" s="35"/>
    </row>
    <row r="7" spans="1:9" ht="15.75">
      <c r="A7" s="8" t="s">
        <v>23</v>
      </c>
      <c r="B7" s="31"/>
      <c r="C7" s="31"/>
      <c r="E7" s="32" t="s">
        <v>24</v>
      </c>
      <c r="F7" s="34"/>
      <c r="G7" s="34"/>
      <c r="H7" s="34"/>
    </row>
    <row r="8" spans="1:9" ht="38.25">
      <c r="A8" s="398" t="s">
        <v>2</v>
      </c>
      <c r="B8" s="399"/>
      <c r="C8" s="398" t="s">
        <v>0</v>
      </c>
      <c r="D8" s="399"/>
      <c r="E8" s="15" t="s">
        <v>62</v>
      </c>
      <c r="F8" s="15" t="s">
        <v>5</v>
      </c>
      <c r="G8" s="15" t="s">
        <v>18</v>
      </c>
      <c r="H8" s="15" t="s">
        <v>19</v>
      </c>
    </row>
    <row r="9" spans="1:9" ht="15.75">
      <c r="A9" s="400" t="s">
        <v>63</v>
      </c>
      <c r="B9" s="400"/>
      <c r="C9" s="400"/>
      <c r="D9" s="400"/>
      <c r="E9" s="400"/>
      <c r="F9" s="400"/>
      <c r="G9" s="400"/>
      <c r="H9" s="400"/>
    </row>
    <row r="10" spans="1:9" ht="15.75">
      <c r="A10" s="401" t="s">
        <v>64</v>
      </c>
      <c r="B10" s="402"/>
      <c r="C10" s="402"/>
      <c r="D10" s="402"/>
      <c r="E10" s="402"/>
      <c r="F10" s="402"/>
      <c r="G10" s="402"/>
      <c r="H10" s="403"/>
    </row>
    <row r="11" spans="1:9">
      <c r="A11" s="404" t="s">
        <v>89</v>
      </c>
      <c r="B11" s="404"/>
      <c r="C11" s="405" t="s">
        <v>65</v>
      </c>
      <c r="D11" s="406"/>
      <c r="E11" s="36">
        <v>13</v>
      </c>
      <c r="F11" s="36" t="s">
        <v>66</v>
      </c>
      <c r="G11" s="56">
        <f>H11/0.8</f>
        <v>2295362.6249999995</v>
      </c>
      <c r="H11" s="56">
        <f>5322.58*H4</f>
        <v>1836290.0999999999</v>
      </c>
      <c r="I11" s="55">
        <f>H11/186</f>
        <v>9872.5274193548375</v>
      </c>
    </row>
    <row r="12" spans="1:9" ht="15.75">
      <c r="A12" s="410" t="s">
        <v>67</v>
      </c>
      <c r="B12" s="411"/>
      <c r="C12" s="411"/>
      <c r="D12" s="411"/>
      <c r="E12" s="411"/>
      <c r="F12" s="411"/>
      <c r="G12" s="411"/>
      <c r="H12" s="412"/>
      <c r="I12" s="55">
        <f t="shared" ref="I12:I26" si="0">H12/186</f>
        <v>0</v>
      </c>
    </row>
    <row r="13" spans="1:9">
      <c r="A13" s="413" t="s">
        <v>90</v>
      </c>
      <c r="B13" s="413"/>
      <c r="C13" s="405" t="s">
        <v>65</v>
      </c>
      <c r="D13" s="406"/>
      <c r="E13" s="37">
        <v>20</v>
      </c>
      <c r="F13" s="36" t="s">
        <v>66</v>
      </c>
      <c r="G13" s="56">
        <f>H13/0.8</f>
        <v>4497984.9375</v>
      </c>
      <c r="H13" s="56">
        <f>10430.11*H4</f>
        <v>3598387.95</v>
      </c>
      <c r="I13" s="55">
        <f t="shared" si="0"/>
        <v>19346.17177419355</v>
      </c>
    </row>
    <row r="14" spans="1:9">
      <c r="A14" s="413" t="s">
        <v>91</v>
      </c>
      <c r="B14" s="413"/>
      <c r="C14" s="405" t="s">
        <v>65</v>
      </c>
      <c r="D14" s="406"/>
      <c r="E14" s="37">
        <v>25</v>
      </c>
      <c r="F14" s="36" t="s">
        <v>66</v>
      </c>
      <c r="G14" s="56">
        <f>H14/0.8</f>
        <v>5425405.3125</v>
      </c>
      <c r="H14" s="56">
        <f>12580.65*H4</f>
        <v>4340324.25</v>
      </c>
      <c r="I14" s="55">
        <f t="shared" si="0"/>
        <v>23335.076612903227</v>
      </c>
    </row>
    <row r="15" spans="1:9">
      <c r="A15" s="413" t="s">
        <v>92</v>
      </c>
      <c r="B15" s="413"/>
      <c r="C15" s="405" t="s">
        <v>65</v>
      </c>
      <c r="D15" s="406"/>
      <c r="E15" s="37">
        <v>30</v>
      </c>
      <c r="F15" s="36" t="s">
        <v>66</v>
      </c>
      <c r="G15" s="56">
        <f>H15/0.8</f>
        <v>5703630.5625</v>
      </c>
      <c r="H15" s="56">
        <f>13225.81*H4</f>
        <v>4562904.45</v>
      </c>
      <c r="I15" s="55">
        <f t="shared" si="0"/>
        <v>24531.744354838709</v>
      </c>
    </row>
    <row r="16" spans="1:9" ht="15.75" hidden="1">
      <c r="A16" s="400" t="s">
        <v>68</v>
      </c>
      <c r="B16" s="400"/>
      <c r="C16" s="400"/>
      <c r="D16" s="400"/>
      <c r="E16" s="400"/>
      <c r="F16" s="400"/>
      <c r="G16" s="400"/>
      <c r="H16" s="400"/>
      <c r="I16" s="55">
        <f t="shared" si="0"/>
        <v>0</v>
      </c>
    </row>
    <row r="17" spans="1:9" hidden="1">
      <c r="A17" s="405" t="s">
        <v>69</v>
      </c>
      <c r="B17" s="406"/>
      <c r="C17" s="405" t="s">
        <v>70</v>
      </c>
      <c r="D17" s="406"/>
      <c r="E17" s="36">
        <v>35</v>
      </c>
      <c r="F17" s="36" t="s">
        <v>1</v>
      </c>
      <c r="G17" s="56">
        <f>H17/0.8</f>
        <v>1738912.1250000002</v>
      </c>
      <c r="H17" s="56">
        <f>4032.26*H4</f>
        <v>1391129.7000000002</v>
      </c>
      <c r="I17" s="55">
        <f t="shared" si="0"/>
        <v>7479.1919354838719</v>
      </c>
    </row>
    <row r="18" spans="1:9" hidden="1">
      <c r="A18" s="405" t="s">
        <v>71</v>
      </c>
      <c r="B18" s="406"/>
      <c r="C18" s="405" t="s">
        <v>70</v>
      </c>
      <c r="D18" s="406"/>
      <c r="E18" s="36">
        <v>53</v>
      </c>
      <c r="F18" s="36" t="s">
        <v>1</v>
      </c>
      <c r="G18" s="56">
        <f>H18/0.8</f>
        <v>2898185.4375</v>
      </c>
      <c r="H18" s="56">
        <f>6720.43*H4</f>
        <v>2318548.35</v>
      </c>
      <c r="I18" s="55">
        <f t="shared" si="0"/>
        <v>12465.313709677419</v>
      </c>
    </row>
    <row r="19" spans="1:9" hidden="1">
      <c r="A19" s="405" t="s">
        <v>72</v>
      </c>
      <c r="B19" s="406"/>
      <c r="C19" s="405" t="s">
        <v>70</v>
      </c>
      <c r="D19" s="406"/>
      <c r="E19" s="36">
        <v>70</v>
      </c>
      <c r="F19" s="36" t="s">
        <v>1</v>
      </c>
      <c r="G19" s="56">
        <f>H19/0.8</f>
        <v>3570564.5624999995</v>
      </c>
      <c r="H19" s="56">
        <f>8279.57*H4</f>
        <v>2856451.65</v>
      </c>
      <c r="I19" s="55">
        <f t="shared" si="0"/>
        <v>15357.266935483871</v>
      </c>
    </row>
    <row r="20" spans="1:9" ht="15.75">
      <c r="A20" s="400" t="s">
        <v>73</v>
      </c>
      <c r="B20" s="400"/>
      <c r="C20" s="400"/>
      <c r="D20" s="400"/>
      <c r="E20" s="400"/>
      <c r="F20" s="400"/>
      <c r="G20" s="400"/>
      <c r="H20" s="400"/>
      <c r="I20" s="55">
        <f t="shared" si="0"/>
        <v>0</v>
      </c>
    </row>
    <row r="21" spans="1:9">
      <c r="A21" s="407" t="s">
        <v>74</v>
      </c>
      <c r="B21" s="407"/>
      <c r="C21" s="407" t="s">
        <v>75</v>
      </c>
      <c r="D21" s="407"/>
      <c r="E21" s="36">
        <v>22</v>
      </c>
      <c r="F21" s="38" t="s">
        <v>66</v>
      </c>
      <c r="G21" s="56">
        <f>H21/0.8</f>
        <v>1205645.6249999998</v>
      </c>
      <c r="H21" s="56">
        <f>2795.7*H4</f>
        <v>964516.49999999988</v>
      </c>
      <c r="I21" s="55">
        <f t="shared" si="0"/>
        <v>5185.572580645161</v>
      </c>
    </row>
    <row r="22" spans="1:9">
      <c r="A22" s="407" t="s">
        <v>76</v>
      </c>
      <c r="B22" s="407"/>
      <c r="C22" s="407" t="s">
        <v>75</v>
      </c>
      <c r="D22" s="407"/>
      <c r="E22" s="36">
        <v>28</v>
      </c>
      <c r="F22" s="38" t="s">
        <v>66</v>
      </c>
      <c r="G22" s="56">
        <f>H22/0.8</f>
        <v>1298385.9375</v>
      </c>
      <c r="H22" s="56">
        <f>3010.75*H4</f>
        <v>1038708.75</v>
      </c>
      <c r="I22" s="55">
        <f t="shared" si="0"/>
        <v>5584.4556451612907</v>
      </c>
    </row>
    <row r="23" spans="1:9" ht="15.75">
      <c r="A23" s="400" t="s">
        <v>77</v>
      </c>
      <c r="B23" s="400"/>
      <c r="C23" s="400"/>
      <c r="D23" s="400"/>
      <c r="E23" s="400"/>
      <c r="F23" s="400"/>
      <c r="G23" s="400"/>
      <c r="H23" s="400"/>
      <c r="I23" s="55">
        <f t="shared" si="0"/>
        <v>0</v>
      </c>
    </row>
    <row r="24" spans="1:9" hidden="1">
      <c r="A24" s="407" t="s">
        <v>78</v>
      </c>
      <c r="B24" s="407"/>
      <c r="C24" s="407" t="s">
        <v>79</v>
      </c>
      <c r="D24" s="407"/>
      <c r="E24" s="36">
        <v>22</v>
      </c>
      <c r="F24" s="38" t="s">
        <v>66</v>
      </c>
      <c r="G24" s="56">
        <f>H24/0.8</f>
        <v>1159273.3125</v>
      </c>
      <c r="H24" s="56">
        <f>2688.17*H4</f>
        <v>927418.65</v>
      </c>
      <c r="I24" s="55">
        <f t="shared" si="0"/>
        <v>4986.1217741935488</v>
      </c>
    </row>
    <row r="25" spans="1:9">
      <c r="A25" s="407" t="s">
        <v>80</v>
      </c>
      <c r="B25" s="407"/>
      <c r="C25" s="407" t="s">
        <v>79</v>
      </c>
      <c r="D25" s="407"/>
      <c r="E25" s="36">
        <v>28</v>
      </c>
      <c r="F25" s="38" t="s">
        <v>66</v>
      </c>
      <c r="G25" s="56">
        <f>H25/0.8</f>
        <v>1252017.9375</v>
      </c>
      <c r="H25" s="56">
        <f>2903.23*H4</f>
        <v>1001614.35</v>
      </c>
      <c r="I25" s="55">
        <f t="shared" si="0"/>
        <v>5385.0233870967741</v>
      </c>
    </row>
    <row r="26" spans="1:9">
      <c r="A26" s="407" t="s">
        <v>81</v>
      </c>
      <c r="B26" s="407"/>
      <c r="C26" s="407" t="s">
        <v>82</v>
      </c>
      <c r="D26" s="407"/>
      <c r="E26" s="36">
        <v>35</v>
      </c>
      <c r="F26" s="38" t="s">
        <v>66</v>
      </c>
      <c r="G26" s="56">
        <f>H26/0.8</f>
        <v>1771372.3124999998</v>
      </c>
      <c r="H26" s="56">
        <f>4107.53*H4</f>
        <v>1417097.8499999999</v>
      </c>
      <c r="I26" s="55">
        <f t="shared" si="0"/>
        <v>7618.8056451612892</v>
      </c>
    </row>
  </sheetData>
  <mergeCells count="33">
    <mergeCell ref="A19:B19"/>
    <mergeCell ref="C19:D19"/>
    <mergeCell ref="A12:H12"/>
    <mergeCell ref="A13:B13"/>
    <mergeCell ref="C13:D13"/>
    <mergeCell ref="A14:B14"/>
    <mergeCell ref="C14:D14"/>
    <mergeCell ref="A15:B15"/>
    <mergeCell ref="C15:D15"/>
    <mergeCell ref="G3:H3"/>
    <mergeCell ref="A24:B24"/>
    <mergeCell ref="C24:D24"/>
    <mergeCell ref="A25:B25"/>
    <mergeCell ref="C25:D25"/>
    <mergeCell ref="A16:H16"/>
    <mergeCell ref="A17:B17"/>
    <mergeCell ref="C17:D17"/>
    <mergeCell ref="A18:B18"/>
    <mergeCell ref="C18:D18"/>
    <mergeCell ref="A26:B26"/>
    <mergeCell ref="C26:D26"/>
    <mergeCell ref="A20:H20"/>
    <mergeCell ref="A21:B21"/>
    <mergeCell ref="C21:D21"/>
    <mergeCell ref="A22:B22"/>
    <mergeCell ref="C22:D22"/>
    <mergeCell ref="A23:H23"/>
    <mergeCell ref="A8:B8"/>
    <mergeCell ref="C8:D8"/>
    <mergeCell ref="A9:H9"/>
    <mergeCell ref="A10:H10"/>
    <mergeCell ref="A11:B11"/>
    <mergeCell ref="C11:D11"/>
  </mergeCells>
  <hyperlinks>
    <hyperlink ref="A7" r:id="rId1" display="www.almacom.info  E-mail:almacom@inbox,ru"/>
  </hyperlinks>
  <pageMargins left="0.7" right="0.7" top="0.75" bottom="0.75" header="0.3" footer="0.3"/>
  <pageSetup paperSize="9" scale="74" orientation="portrait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16" sqref="F16"/>
    </sheetView>
  </sheetViews>
  <sheetFormatPr defaultRowHeight="12.75"/>
  <cols>
    <col min="1" max="1" width="29" style="29" customWidth="1"/>
    <col min="2" max="2" width="8.140625" style="128" bestFit="1" customWidth="1"/>
    <col min="3" max="3" width="34.140625" style="29" bestFit="1" customWidth="1"/>
    <col min="4" max="4" width="11.28515625" style="129" customWidth="1"/>
    <col min="5" max="16384" width="9.140625" style="29"/>
  </cols>
  <sheetData>
    <row r="1" spans="1:4" ht="21" customHeight="1">
      <c r="A1" s="422" t="s">
        <v>287</v>
      </c>
      <c r="B1" s="423"/>
      <c r="C1" s="423"/>
      <c r="D1" s="424"/>
    </row>
    <row r="2" spans="1:4" ht="13.5" thickBot="1">
      <c r="A2" s="425" t="s">
        <v>288</v>
      </c>
      <c r="B2" s="426"/>
      <c r="C2" s="426"/>
      <c r="D2" s="427"/>
    </row>
    <row r="3" spans="1:4" ht="15">
      <c r="A3" s="110" t="s">
        <v>2</v>
      </c>
      <c r="B3" s="111" t="s">
        <v>289</v>
      </c>
      <c r="C3" s="112" t="s">
        <v>290</v>
      </c>
      <c r="D3" s="113" t="s">
        <v>291</v>
      </c>
    </row>
    <row r="4" spans="1:4" ht="15">
      <c r="A4" s="428" t="s">
        <v>442</v>
      </c>
      <c r="B4" s="429"/>
      <c r="C4" s="429"/>
      <c r="D4" s="430"/>
    </row>
    <row r="5" spans="1:4">
      <c r="A5" s="105" t="s">
        <v>443</v>
      </c>
      <c r="B5" s="114">
        <v>2</v>
      </c>
      <c r="C5" s="103" t="s">
        <v>478</v>
      </c>
      <c r="D5" s="115">
        <v>27000</v>
      </c>
    </row>
    <row r="6" spans="1:4">
      <c r="A6" s="105" t="s">
        <v>444</v>
      </c>
      <c r="B6" s="114">
        <v>1</v>
      </c>
      <c r="C6" s="103" t="s">
        <v>445</v>
      </c>
      <c r="D6" s="115">
        <v>28000</v>
      </c>
    </row>
    <row r="7" spans="1:4">
      <c r="A7" s="105" t="s">
        <v>446</v>
      </c>
      <c r="B7" s="114">
        <v>1</v>
      </c>
      <c r="C7" s="103" t="s">
        <v>473</v>
      </c>
      <c r="D7" s="115">
        <v>78000</v>
      </c>
    </row>
    <row r="8" spans="1:4">
      <c r="A8" s="105" t="s">
        <v>342</v>
      </c>
      <c r="B8" s="114">
        <v>1</v>
      </c>
      <c r="C8" s="103" t="s">
        <v>447</v>
      </c>
      <c r="D8" s="132">
        <v>60000</v>
      </c>
    </row>
    <row r="9" spans="1:4">
      <c r="A9" s="105" t="s">
        <v>293</v>
      </c>
      <c r="B9" s="114">
        <v>4</v>
      </c>
      <c r="C9" s="102" t="s">
        <v>292</v>
      </c>
      <c r="D9" s="115">
        <v>43000</v>
      </c>
    </row>
    <row r="10" spans="1:4">
      <c r="A10" s="105" t="s">
        <v>343</v>
      </c>
      <c r="B10" s="114">
        <v>1</v>
      </c>
      <c r="C10" s="102" t="s">
        <v>22</v>
      </c>
      <c r="D10" s="132">
        <v>170000</v>
      </c>
    </row>
    <row r="11" spans="1:4">
      <c r="A11" s="105" t="s">
        <v>475</v>
      </c>
      <c r="B11" s="114">
        <v>1</v>
      </c>
      <c r="C11" s="103" t="s">
        <v>476</v>
      </c>
      <c r="D11" s="132">
        <v>140000</v>
      </c>
    </row>
    <row r="12" spans="1:4">
      <c r="B12" s="29"/>
      <c r="D12" s="132"/>
    </row>
    <row r="13" spans="1:4">
      <c r="A13" s="414" t="s">
        <v>344</v>
      </c>
      <c r="B13" s="415"/>
      <c r="C13" s="415"/>
      <c r="D13" s="133"/>
    </row>
    <row r="14" spans="1:4">
      <c r="A14" s="105" t="s">
        <v>477</v>
      </c>
      <c r="B14" s="114">
        <v>1</v>
      </c>
      <c r="C14" s="103" t="s">
        <v>476</v>
      </c>
      <c r="D14" s="132">
        <v>380000</v>
      </c>
    </row>
    <row r="15" spans="1:4" ht="24">
      <c r="A15" s="105" t="s">
        <v>345</v>
      </c>
      <c r="B15" s="114">
        <v>1</v>
      </c>
      <c r="C15" s="104" t="s">
        <v>346</v>
      </c>
      <c r="D15" s="132">
        <v>120000</v>
      </c>
    </row>
    <row r="16" spans="1:4">
      <c r="A16" s="414" t="s">
        <v>347</v>
      </c>
      <c r="B16" s="415"/>
      <c r="C16" s="415"/>
      <c r="D16" s="133"/>
    </row>
    <row r="17" spans="1:4" hidden="1">
      <c r="A17" s="105" t="s">
        <v>348</v>
      </c>
      <c r="B17" s="114">
        <v>1</v>
      </c>
      <c r="C17" s="102" t="s">
        <v>22</v>
      </c>
      <c r="D17" s="130">
        <v>360000</v>
      </c>
    </row>
    <row r="18" spans="1:4">
      <c r="A18" s="105" t="s">
        <v>349</v>
      </c>
      <c r="B18" s="114">
        <v>1</v>
      </c>
      <c r="C18" s="102" t="s">
        <v>298</v>
      </c>
      <c r="D18" s="132">
        <v>110000</v>
      </c>
    </row>
    <row r="19" spans="1:4">
      <c r="A19" s="105" t="s">
        <v>350</v>
      </c>
      <c r="B19" s="114">
        <v>1</v>
      </c>
      <c r="C19" s="102" t="s">
        <v>22</v>
      </c>
      <c r="D19" s="132">
        <v>335000</v>
      </c>
    </row>
    <row r="20" spans="1:4" ht="13.5" thickBot="1">
      <c r="A20" s="117" t="s">
        <v>351</v>
      </c>
      <c r="B20" s="118">
        <v>1</v>
      </c>
      <c r="C20" s="119" t="s">
        <v>298</v>
      </c>
      <c r="D20" s="134">
        <v>130000</v>
      </c>
    </row>
    <row r="21" spans="1:4" ht="15.75" thickBot="1">
      <c r="A21" s="416" t="s">
        <v>448</v>
      </c>
      <c r="B21" s="417"/>
      <c r="C21" s="417"/>
      <c r="D21" s="418"/>
    </row>
    <row r="22" spans="1:4">
      <c r="A22" s="106" t="s">
        <v>449</v>
      </c>
      <c r="B22" s="120">
        <v>1</v>
      </c>
      <c r="C22" s="121" t="s">
        <v>22</v>
      </c>
      <c r="D22" s="122">
        <v>75000</v>
      </c>
    </row>
    <row r="23" spans="1:4">
      <c r="A23" s="105" t="s">
        <v>450</v>
      </c>
      <c r="B23" s="114">
        <v>1</v>
      </c>
      <c r="C23" s="123" t="s">
        <v>22</v>
      </c>
      <c r="D23" s="131">
        <v>114000</v>
      </c>
    </row>
    <row r="24" spans="1:4">
      <c r="A24" s="414" t="s">
        <v>347</v>
      </c>
      <c r="B24" s="415"/>
      <c r="C24" s="415"/>
      <c r="D24" s="116"/>
    </row>
    <row r="25" spans="1:4" ht="13.5" thickBot="1">
      <c r="A25" s="117" t="s">
        <v>351</v>
      </c>
      <c r="B25" s="118">
        <v>1</v>
      </c>
      <c r="C25" s="119" t="s">
        <v>298</v>
      </c>
      <c r="D25" s="135">
        <v>130000</v>
      </c>
    </row>
    <row r="26" spans="1:4" ht="15.75" thickBot="1">
      <c r="A26" s="416" t="s">
        <v>451</v>
      </c>
      <c r="B26" s="417"/>
      <c r="C26" s="417"/>
      <c r="D26" s="418"/>
    </row>
    <row r="27" spans="1:4">
      <c r="A27" s="124" t="s">
        <v>452</v>
      </c>
      <c r="B27" s="125">
        <v>1</v>
      </c>
      <c r="C27" s="126" t="s">
        <v>453</v>
      </c>
      <c r="D27" s="136">
        <v>80000</v>
      </c>
    </row>
    <row r="28" spans="1:4">
      <c r="A28" s="105" t="s">
        <v>454</v>
      </c>
      <c r="B28" s="114">
        <v>1</v>
      </c>
      <c r="C28" s="103" t="s">
        <v>455</v>
      </c>
      <c r="D28" s="131">
        <v>160000</v>
      </c>
    </row>
    <row r="29" spans="1:4" ht="15">
      <c r="A29" s="419" t="s">
        <v>294</v>
      </c>
      <c r="B29" s="420"/>
      <c r="C29" s="420"/>
      <c r="D29" s="421"/>
    </row>
    <row r="30" spans="1:4" ht="24">
      <c r="A30" s="105" t="s">
        <v>295</v>
      </c>
      <c r="B30" s="114">
        <v>1</v>
      </c>
      <c r="C30" s="104" t="s">
        <v>456</v>
      </c>
      <c r="D30" s="115">
        <v>33600</v>
      </c>
    </row>
    <row r="31" spans="1:4" ht="24">
      <c r="A31" s="105" t="s">
        <v>296</v>
      </c>
      <c r="B31" s="114">
        <v>1</v>
      </c>
      <c r="C31" s="107" t="s">
        <v>457</v>
      </c>
      <c r="D31" s="115">
        <v>33600</v>
      </c>
    </row>
    <row r="32" spans="1:4" ht="24.75" thickBot="1">
      <c r="A32" s="117" t="s">
        <v>297</v>
      </c>
      <c r="B32" s="118">
        <v>1</v>
      </c>
      <c r="C32" s="119" t="s">
        <v>298</v>
      </c>
      <c r="D32" s="127">
        <v>56000</v>
      </c>
    </row>
  </sheetData>
  <mergeCells count="9">
    <mergeCell ref="A24:C24"/>
    <mergeCell ref="A26:D26"/>
    <mergeCell ref="A29:D29"/>
    <mergeCell ref="A1:D1"/>
    <mergeCell ref="A2:D2"/>
    <mergeCell ref="A4:D4"/>
    <mergeCell ref="A13:C13"/>
    <mergeCell ref="A16:C16"/>
    <mergeCell ref="A21:D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Другое оборуд. almacom </vt:lpstr>
      <vt:lpstr>Другое оборуд. almacom нов</vt:lpstr>
      <vt:lpstr>кондиц. и расх. мат-лы almacom</vt:lpstr>
      <vt:lpstr>Лист1</vt:lpstr>
      <vt:lpstr>промышленные</vt:lpstr>
      <vt:lpstr>Уценка</vt:lpstr>
      <vt:lpstr>'Другое оборуд. almacom '!Print_Area</vt:lpstr>
      <vt:lpstr>'Другое оборуд. almacom нов'!Print_Area</vt:lpstr>
      <vt:lpstr>'кондиц. и расх. мат-лы almacom'!Print_Area</vt:lpstr>
      <vt:lpstr>'кондиц. и расх. мат-лы almacom'!Заголовки_для_печати</vt:lpstr>
      <vt:lpstr>'кондиц. и расх. мат-лы almacom'!Область_печати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Yeldos</dc:creator>
  <cp:lastModifiedBy>YEVGENIY</cp:lastModifiedBy>
  <cp:lastPrinted>2021-06-21T11:12:03Z</cp:lastPrinted>
  <dcterms:created xsi:type="dcterms:W3CDTF">2014-01-13T08:02:22Z</dcterms:created>
  <dcterms:modified xsi:type="dcterms:W3CDTF">2021-06-21T18:27:43Z</dcterms:modified>
</cp:coreProperties>
</file>